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4.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5.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6.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7.xml" ContentType="application/vnd.openxmlformats-officedocument.drawing+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omments1.xml" ContentType="application/vnd.openxmlformats-officedocument.spreadsheetml.comments+xml"/>
  <Override PartName="/xl/drawings/drawing8.xml" ContentType="application/vnd.openxmlformats-officedocument.drawing+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9.xml" ContentType="application/vnd.openxmlformats-officedocument.drawing+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drawings/drawing10.xml" ContentType="application/vnd.openxmlformats-officedocument.drawing+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codeName="ThisWorkbook"/>
  <xr:revisionPtr revIDLastSave="0" documentId="13_ncr:1_{0C92D37A-8692-4A1A-97F8-3AC52690C46C}" xr6:coauthVersionLast="47" xr6:coauthVersionMax="47" xr10:uidLastSave="{00000000-0000-0000-0000-000000000000}"/>
  <workbookProtection workbookAlgorithmName="SHA-512" workbookHashValue="DpeF5wLB2uAsMA0W+tA0OIfTwW+lRNV6RQ5O9dz9fJTICaJwTYiK1vI2YZSXkYM906aW4ih3vhEQLXIELW+b1A==" workbookSaltValue="gv3ehVgy5lltuhYVf7nxsA==" workbookSpinCount="100000" lockStructure="1"/>
  <bookViews>
    <workbookView xWindow="-108" yWindow="-108" windowWidth="30936" windowHeight="16896" activeTab="2" xr2:uid="{4359F4E6-4C53-4378-BD75-FB9992131FEB}"/>
  </bookViews>
  <sheets>
    <sheet name="Innledning" sheetId="19" r:id="rId1"/>
    <sheet name="Input KOSTRA regnskapsdata" sheetId="21" r:id="rId2"/>
    <sheet name="Sammendrag klimaregnskap" sheetId="16" r:id="rId3"/>
    <sheet name="Vannbehandling - Input" sheetId="9" r:id="rId4"/>
    <sheet name="Vannbehandling - Resultater" sheetId="12" r:id="rId5"/>
    <sheet name="Avløpsbehandling - Input" sheetId="13" r:id="rId6"/>
    <sheet name="Avløp direkteutslipp og biogass" sheetId="25" r:id="rId7"/>
    <sheet name="Avløpsbehandling-Resultater" sheetId="15" r:id="rId8"/>
    <sheet name="Gevinst fra eksportert energi" sheetId="26" r:id="rId9"/>
    <sheet name="Vann og Avløp-utslippsfaktorer" sheetId="3" r:id="rId10"/>
    <sheet name="Utslippsfaktorer Transport" sheetId="32" r:id="rId11"/>
    <sheet name="Transportsystem Avløp - Input" sheetId="29" state="hidden" r:id="rId12"/>
    <sheet name="Transportsystem Avløp - Input g" sheetId="23" state="hidden" r:id="rId13"/>
    <sheet name="Transportsystemer - Resultater" sheetId="17" state="hidden" r:id="rId14"/>
    <sheet name="Avløpsbehandling - CH4&amp;N2O g" sheetId="4" state="hidden" r:id="rId15"/>
    <sheet name="Scope-fordeling" sheetId="24" r:id="rId16"/>
    <sheet name="Transportsystemer - Ressursfane" sheetId="20" r:id="rId17"/>
    <sheet name="Transportsystemer, faktorer" sheetId="27" r:id="rId18"/>
    <sheet name="Ledningsnett - faktorer" sheetId="1" state="hidden" r:id="rId19"/>
    <sheet name="Konstanter CH4ogN2O" sheetId="6" state="hidden" r:id="rId20"/>
    <sheet name="Enkelt klimaregnskap - faktorer" sheetId="10" state="hidden" r:id="rId21"/>
    <sheet name="Lister" sheetId="7" state="hidden" r:id="rId22"/>
    <sheet name="Fra ECAM Tool" sheetId="5" state="hidden" r:id="rId23"/>
    <sheet name="Rørdatatabell" sheetId="2" state="hidden" r:id="rId24"/>
  </sheets>
  <definedNames>
    <definedName name="bio_brukt">'Avløpsbehandling - CH4&amp;N2O g'!$F$25</definedName>
    <definedName name="Bio_faklet">'Avløpsbehandling - CH4&amp;N2O g'!$F$26</definedName>
    <definedName name="Bio_faklet_kald">'Avløpsbehandling - CH4&amp;N2O g'!$F$27</definedName>
    <definedName name="bio_prod">'Avløpsbehandling - CH4&amp;N2O g'!$F$24</definedName>
    <definedName name="bio_valorisert">'Avløpsbehandling - CH4&amp;N2O g'!$B$13</definedName>
    <definedName name="BOD_fjernet">'Avløpsbehandling - CH4&amp;N2O g'!$F$20</definedName>
    <definedName name="BOD_innlop">'Avløpsbehandling - CH4&amp;N2O g'!$F$18</definedName>
    <definedName name="BOD_per_pers">'Konstanter CH4ogN2O'!$B$4</definedName>
    <definedName name="BOD_utlop">'Avløpsbehandling - CH4&amp;N2O g'!$F$19</definedName>
    <definedName name="C_til_CH4">'Konstanter CH4ogN2O'!$B$27</definedName>
    <definedName name="CH4_biogass">'Konstanter CH4ogN2O'!$B$9</definedName>
    <definedName name="CH4_forb_torr">'Konstanter CH4ogN2O'!$B$35</definedName>
    <definedName name="CH4_i_deponi">'Konstanter CH4ogN2O'!$B$45</definedName>
    <definedName name="CH4_i_slam">'Konstanter CH4ogN2O'!$B$28</definedName>
    <definedName name="CH4_per_BOD">'Konstanter CH4ogN2O'!$B$11</definedName>
    <definedName name="CH4_tap_fakling">'Konstanter CH4ogN2O'!$B$8</definedName>
    <definedName name="CH4_udekket_kompost">'Konstanter CH4ogN2O'!$B$26</definedName>
    <definedName name="CN_i_slam">'Avløpsbehandling - CH4&amp;N2O g'!$F$32</definedName>
    <definedName name="CO2_diesel">'Ledningsnett - faktorer'!$D$44</definedName>
    <definedName name="dager">'Konstanter CH4ogN2O'!$B$7</definedName>
    <definedName name="dens_biogass">'Konstanter CH4ogN2O'!$B$10</definedName>
    <definedName name="DOC_ila_3_år">'Konstanter CH4ogN2O'!$B$47</definedName>
    <definedName name="DOC_slam">'Konstanter CH4ogN2O'!$B$46</definedName>
    <definedName name="forb_temp">'Konstanter CH4ogN2O'!$B$34</definedName>
    <definedName name="forb_total_N">'Konstanter CH4ogN2O'!$B$31</definedName>
    <definedName name="gjs_N_utlop">'Avløpsbehandling - CH4&amp;N2O g'!$B$14</definedName>
    <definedName name="har_slamfordoyer">'Avløpsbehandling - CH4&amp;N2O g'!$B$12</definedName>
    <definedName name="Ikke_kons_prot">'Konstanter CH4ogN2O'!$B$53</definedName>
    <definedName name="ind_kom_prot">'Konstanter CH4ogN2O'!$B$54</definedName>
    <definedName name="ind_komm_protein">'Konstanter CH4ogN2O'!$B$14</definedName>
    <definedName name="IPCC5_N2O">'Konstanter CH4ogN2O'!$B$63</definedName>
    <definedName name="IPPC5_CH4">'Konstanter CH4ogN2O'!$B$62</definedName>
    <definedName name="kompost_dekket">'Avløpsbehandling - CH4&amp;N2O g'!$B$41</definedName>
    <definedName name="lagringstid">'Avløpsbehandling - CH4&amp;N2O g'!$F$31</definedName>
    <definedName name="MCF_dd">'Konstanter CH4ogN2O'!$B$57</definedName>
    <definedName name="MCF_deponi">'Konstanter CH4ogN2O'!$B$48</definedName>
    <definedName name="MCF_septic">'Konstanter CH4ogN2O'!$B$58</definedName>
    <definedName name="N_fordøyet">'Konstanter CH4ogN2O'!$B$39</definedName>
    <definedName name="N_i_protein">'Konstanter CH4ogN2O'!$B$52</definedName>
    <definedName name="N_ikke_fordoyet">'Konstanter CH4ogN2O'!$B$38</definedName>
    <definedName name="N_per_VS">'Konstanter CH4ogN2O'!$B$6</definedName>
    <definedName name="N_til_N2O">'Konstanter CH4ogN2O'!$B$33</definedName>
    <definedName name="N_til_N2O_ftekst">'Konstanter CH4ogN2O'!$B$40</definedName>
    <definedName name="N_til_N2O_gtekst">'Konstanter CH4ogN2O'!$B$41</definedName>
    <definedName name="N2O_emi">'Konstanter CH4ogN2O'!$B$15</definedName>
    <definedName name="N2O_lav_CN">'Konstanter CH4ogN2O'!$B$32</definedName>
    <definedName name="N2O_lav_CN_ubehandlet">'Konstanter CH4ogN2O'!$B$59</definedName>
    <definedName name="N2O_N2ON">'Konstanter CH4ogN2O'!$B$56</definedName>
    <definedName name="N2ON_N">'Konstanter CH4ogN2O'!$B$55</definedName>
    <definedName name="org_C_TVS">'Konstanter CH4ogN2O'!$B$23</definedName>
    <definedName name="pers_avlop">'Avløpsbehandling - CH4&amp;N2O g'!$B$6</definedName>
    <definedName name="pers_avlopsbehandling">'Avløpsbehandling - CH4&amp;N2O g'!$B$7</definedName>
    <definedName name="pers_omr">'Avløpsbehandling - CH4&amp;N2O g'!$B$5</definedName>
    <definedName name="pers_septikk">'Avløpsbehandling - CH4&amp;N2O g'!$B$8</definedName>
    <definedName name="protein_pers_aar">'Konstanter CH4ogN2O'!$B$51</definedName>
    <definedName name="Slam_VSS_BOD">'Konstanter CH4ogN2O'!$B$18</definedName>
    <definedName name="slamavhending">'Avløpsbehandling - CH4&amp;N2O g'!$B$30</definedName>
    <definedName name="torr_slam">'Avløpsbehandling - CH4&amp;N2O g'!$B$38</definedName>
    <definedName name="torrstoff_slam">'Avløpsbehandling - CH4&amp;N2O g'!$F$37</definedName>
    <definedName name="TSS_VSS_slam">'Konstanter CH4ogN2O'!$B$20</definedName>
    <definedName name="TVS_fordoyet_slam">'Konstanter CH4ogN2O'!$B$24</definedName>
    <definedName name="TVS_ikke_fordoyet_slam">'Konstanter CH4ogN2O'!$B$25</definedName>
    <definedName name="ubehandlet_BOD">'Konstanter CH4ogN2O'!$B$19</definedName>
    <definedName name="usikkerhet">'Konstanter CH4ogN2O'!$B$44</definedName>
    <definedName name="volum_vann">'Avløpsbehandling - CH4&amp;N2O g'!$B$15</definedName>
    <definedName name="VS_per_BOD">'Konstanter CH4ogN2O'!$B$5</definedName>
    <definedName name="vaat_slam_prod">'Avløpsbehandling - CH4&amp;N2O g'!$F$36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4" i="25" l="1"/>
  <c r="G2" i="10" l="1"/>
  <c r="L15" i="25"/>
  <c r="M26" i="21"/>
  <c r="L26" i="21"/>
  <c r="I27" i="24" s="1"/>
  <c r="C12" i="16"/>
  <c r="AH88" i="9"/>
  <c r="AI88" i="9"/>
  <c r="AJ88" i="9"/>
  <c r="AH89" i="9"/>
  <c r="AI89" i="9"/>
  <c r="AJ89" i="9"/>
  <c r="AH90" i="9"/>
  <c r="AI90" i="9"/>
  <c r="AJ90" i="9"/>
  <c r="AH91" i="9"/>
  <c r="AI91" i="9"/>
  <c r="AJ91" i="9"/>
  <c r="AH92" i="9"/>
  <c r="AI92" i="9"/>
  <c r="AJ92" i="9"/>
  <c r="AH93" i="9"/>
  <c r="AI93" i="9"/>
  <c r="AJ93" i="9"/>
  <c r="AH94" i="9"/>
  <c r="AI94" i="9"/>
  <c r="AJ94" i="9"/>
  <c r="AH95" i="9"/>
  <c r="AI95" i="9"/>
  <c r="AJ95" i="9"/>
  <c r="AH96" i="9"/>
  <c r="AI96" i="9"/>
  <c r="AJ96" i="9"/>
  <c r="AJ87" i="9"/>
  <c r="AI87" i="9"/>
  <c r="AH87" i="9"/>
  <c r="AH63" i="9"/>
  <c r="AI63" i="9"/>
  <c r="AJ63" i="9"/>
  <c r="AH64" i="9"/>
  <c r="AI64" i="9"/>
  <c r="AJ64" i="9"/>
  <c r="AH65" i="9"/>
  <c r="AI65" i="9"/>
  <c r="AJ65" i="9"/>
  <c r="AH66" i="9"/>
  <c r="AI66" i="9"/>
  <c r="AJ66" i="9"/>
  <c r="AH67" i="9"/>
  <c r="AI67" i="9"/>
  <c r="AJ67" i="9"/>
  <c r="AH68" i="9"/>
  <c r="AI68" i="9"/>
  <c r="AJ68" i="9"/>
  <c r="AH69" i="9"/>
  <c r="AI69" i="9"/>
  <c r="AJ69" i="9"/>
  <c r="AH70" i="9"/>
  <c r="AI70" i="9"/>
  <c r="AJ70" i="9"/>
  <c r="AH71" i="9"/>
  <c r="AI71" i="9"/>
  <c r="AJ71" i="9"/>
  <c r="AH72" i="9"/>
  <c r="AI72" i="9"/>
  <c r="AJ72" i="9"/>
  <c r="AH73" i="9"/>
  <c r="AI73" i="9"/>
  <c r="AJ73" i="9"/>
  <c r="AH74" i="9"/>
  <c r="AI74" i="9"/>
  <c r="AJ74" i="9"/>
  <c r="AH75" i="9"/>
  <c r="AI75" i="9"/>
  <c r="AJ75" i="9"/>
  <c r="AH76" i="9"/>
  <c r="AI76" i="9"/>
  <c r="AJ76" i="9"/>
  <c r="AH77" i="9"/>
  <c r="AI77" i="9"/>
  <c r="AJ77" i="9"/>
  <c r="AH78" i="9"/>
  <c r="AI78" i="9"/>
  <c r="AJ78" i="9"/>
  <c r="AH79" i="9"/>
  <c r="AI79" i="9"/>
  <c r="AJ79" i="9"/>
  <c r="AH80" i="9"/>
  <c r="AI80" i="9"/>
  <c r="AJ80" i="9"/>
  <c r="AH81" i="9"/>
  <c r="AI81" i="9"/>
  <c r="AJ81" i="9"/>
  <c r="AH82" i="9"/>
  <c r="AI82" i="9"/>
  <c r="AJ82" i="9"/>
  <c r="AH83" i="9"/>
  <c r="AI83" i="9"/>
  <c r="AJ83" i="9"/>
  <c r="AJ62" i="9"/>
  <c r="AI62" i="9"/>
  <c r="AH62" i="9"/>
  <c r="AH90" i="13"/>
  <c r="AI90" i="13"/>
  <c r="AJ90" i="13"/>
  <c r="AH91" i="13"/>
  <c r="AI91" i="13"/>
  <c r="AJ91" i="13"/>
  <c r="AH92" i="13"/>
  <c r="AI92" i="13"/>
  <c r="AJ92" i="13"/>
  <c r="AH93" i="13"/>
  <c r="AI93" i="13"/>
  <c r="AJ93" i="13"/>
  <c r="AH94" i="13"/>
  <c r="AI94" i="13"/>
  <c r="AJ94" i="13"/>
  <c r="AH95" i="13"/>
  <c r="AI95" i="13"/>
  <c r="AJ95" i="13"/>
  <c r="AH96" i="13"/>
  <c r="AI96" i="13"/>
  <c r="AJ96" i="13"/>
  <c r="AH97" i="13"/>
  <c r="AI97" i="13"/>
  <c r="AJ97" i="13"/>
  <c r="AH98" i="13"/>
  <c r="AI98" i="13"/>
  <c r="AJ98" i="13"/>
  <c r="AJ89" i="13"/>
  <c r="AI89" i="13"/>
  <c r="AH89" i="13"/>
  <c r="AH65" i="13"/>
  <c r="AI65" i="13"/>
  <c r="AJ65" i="13"/>
  <c r="AH66" i="13"/>
  <c r="AI66" i="13"/>
  <c r="AJ66" i="13"/>
  <c r="AH67" i="13"/>
  <c r="AI67" i="13"/>
  <c r="AJ67" i="13"/>
  <c r="AH68" i="13"/>
  <c r="AI68" i="13"/>
  <c r="AJ68" i="13"/>
  <c r="AH69" i="13"/>
  <c r="AI69" i="13"/>
  <c r="AJ69" i="13"/>
  <c r="AH70" i="13"/>
  <c r="AI70" i="13"/>
  <c r="AJ70" i="13"/>
  <c r="AH71" i="13"/>
  <c r="AI71" i="13"/>
  <c r="AJ71" i="13"/>
  <c r="AH72" i="13"/>
  <c r="AI72" i="13"/>
  <c r="AJ72" i="13"/>
  <c r="AH73" i="13"/>
  <c r="AI73" i="13"/>
  <c r="AJ73" i="13"/>
  <c r="AH74" i="13"/>
  <c r="AI74" i="13"/>
  <c r="AJ74" i="13"/>
  <c r="AH75" i="13"/>
  <c r="AI75" i="13"/>
  <c r="AJ75" i="13"/>
  <c r="AH76" i="13"/>
  <c r="AI76" i="13"/>
  <c r="AJ76" i="13"/>
  <c r="AH77" i="13"/>
  <c r="AI77" i="13"/>
  <c r="AJ77" i="13"/>
  <c r="AH78" i="13"/>
  <c r="AI78" i="13"/>
  <c r="AJ78" i="13"/>
  <c r="AH79" i="13"/>
  <c r="AI79" i="13"/>
  <c r="AJ79" i="13"/>
  <c r="AH80" i="13"/>
  <c r="AI80" i="13"/>
  <c r="AJ80" i="13"/>
  <c r="AH81" i="13"/>
  <c r="AI81" i="13"/>
  <c r="AJ81" i="13"/>
  <c r="AH82" i="13"/>
  <c r="AI82" i="13"/>
  <c r="AJ82" i="13"/>
  <c r="AH83" i="13"/>
  <c r="AI83" i="13"/>
  <c r="AJ83" i="13"/>
  <c r="AH84" i="13"/>
  <c r="AI84" i="13"/>
  <c r="AJ84" i="13"/>
  <c r="AH85" i="13"/>
  <c r="AI85" i="13"/>
  <c r="AJ85" i="13"/>
  <c r="AJ64" i="13"/>
  <c r="AI64" i="13"/>
  <c r="AH64" i="13"/>
  <c r="L29" i="24"/>
  <c r="M45" i="24"/>
  <c r="J45" i="24"/>
  <c r="G45" i="24"/>
  <c r="D45" i="24"/>
  <c r="O35" i="21"/>
  <c r="F64" i="16" s="1"/>
  <c r="F15" i="16" s="1"/>
  <c r="N35" i="21"/>
  <c r="D64" i="16" s="1"/>
  <c r="D15" i="16" s="1"/>
  <c r="M35" i="21"/>
  <c r="E64" i="16" s="1"/>
  <c r="E15" i="16" s="1"/>
  <c r="L35" i="21"/>
  <c r="C64" i="16" s="1"/>
  <c r="C15" i="16" s="1"/>
  <c r="F31" i="21"/>
  <c r="E14" i="10" s="1"/>
  <c r="G14" i="10" s="1"/>
  <c r="L9" i="21" s="1"/>
  <c r="K22" i="21"/>
  <c r="I22" i="21"/>
  <c r="O8" i="21"/>
  <c r="M8" i="21"/>
  <c r="O6" i="21"/>
  <c r="M6" i="21"/>
  <c r="Y17" i="20"/>
  <c r="X17" i="20"/>
  <c r="W17" i="20"/>
  <c r="Y16" i="20"/>
  <c r="X16" i="20"/>
  <c r="W16" i="20"/>
  <c r="Y15" i="20"/>
  <c r="X15" i="20"/>
  <c r="W15" i="20"/>
  <c r="Y14" i="20"/>
  <c r="X14" i="20"/>
  <c r="W14" i="20"/>
  <c r="Y13" i="20"/>
  <c r="X13" i="20"/>
  <c r="W13" i="20"/>
  <c r="Y12" i="20"/>
  <c r="X12" i="20"/>
  <c r="W12" i="20"/>
  <c r="AJ103" i="13"/>
  <c r="AI103" i="13"/>
  <c r="AH103" i="13"/>
  <c r="AJ102" i="13"/>
  <c r="AI102" i="13"/>
  <c r="AH102" i="13"/>
  <c r="AJ101" i="13"/>
  <c r="AI101" i="13"/>
  <c r="AH101" i="13"/>
  <c r="AJ60" i="13"/>
  <c r="AI60" i="13"/>
  <c r="AH60" i="13"/>
  <c r="AJ59" i="13"/>
  <c r="AI59" i="13"/>
  <c r="AH59" i="13"/>
  <c r="AJ58" i="13"/>
  <c r="AI58" i="13"/>
  <c r="AH58" i="13"/>
  <c r="AJ57" i="13"/>
  <c r="AI57" i="13"/>
  <c r="AH57" i="13"/>
  <c r="AJ56" i="13"/>
  <c r="AI56" i="13"/>
  <c r="AH56" i="13"/>
  <c r="AJ53" i="13"/>
  <c r="AI53" i="13"/>
  <c r="AH53" i="13"/>
  <c r="AJ52" i="13"/>
  <c r="AI52" i="13"/>
  <c r="AH52" i="13"/>
  <c r="AJ51" i="13"/>
  <c r="AI51" i="13"/>
  <c r="AH51" i="13"/>
  <c r="AJ50" i="13"/>
  <c r="AI50" i="13"/>
  <c r="AH50" i="13"/>
  <c r="AJ49" i="13"/>
  <c r="AI49" i="13"/>
  <c r="AH49" i="13"/>
  <c r="AJ48" i="13"/>
  <c r="AI48" i="13"/>
  <c r="AH48" i="13"/>
  <c r="AJ47" i="13"/>
  <c r="AI47" i="13"/>
  <c r="AH47" i="13"/>
  <c r="AJ44" i="13"/>
  <c r="AI44" i="13"/>
  <c r="AH44" i="13"/>
  <c r="AJ43" i="13"/>
  <c r="AI43" i="13"/>
  <c r="AH43" i="13"/>
  <c r="AJ41" i="13"/>
  <c r="AI41" i="13"/>
  <c r="AH41" i="13"/>
  <c r="AJ40" i="13"/>
  <c r="AI40" i="13"/>
  <c r="AH40" i="13"/>
  <c r="AJ39" i="13"/>
  <c r="AI39" i="13"/>
  <c r="AH39" i="13"/>
  <c r="AJ38" i="13"/>
  <c r="AI38" i="13"/>
  <c r="AH38" i="13"/>
  <c r="AJ36" i="13"/>
  <c r="AI36" i="13"/>
  <c r="AH36" i="13"/>
  <c r="AJ34" i="13"/>
  <c r="AI34" i="13"/>
  <c r="AH34" i="13"/>
  <c r="AJ33" i="13"/>
  <c r="AI33" i="13"/>
  <c r="AH33" i="13"/>
  <c r="AJ31" i="13"/>
  <c r="AI31" i="13"/>
  <c r="AH31" i="13"/>
  <c r="AJ29" i="13"/>
  <c r="AI29" i="13"/>
  <c r="AH29" i="13"/>
  <c r="AJ27" i="13"/>
  <c r="AI27" i="13"/>
  <c r="AH27" i="13"/>
  <c r="AJ25" i="13"/>
  <c r="AI25" i="13"/>
  <c r="AH25" i="13"/>
  <c r="AJ24" i="13"/>
  <c r="AI24" i="13"/>
  <c r="AH24" i="13"/>
  <c r="AJ20" i="13"/>
  <c r="AI20" i="13"/>
  <c r="AH20" i="13"/>
  <c r="AJ19" i="13"/>
  <c r="AI19" i="13"/>
  <c r="AH19" i="13"/>
  <c r="AJ18" i="13"/>
  <c r="AI18" i="13"/>
  <c r="AH18" i="13"/>
  <c r="AJ17" i="13"/>
  <c r="AI17" i="13"/>
  <c r="AH17" i="13"/>
  <c r="AJ16" i="13"/>
  <c r="AI16" i="13"/>
  <c r="AH16" i="13"/>
  <c r="AJ101" i="9"/>
  <c r="AI101" i="9"/>
  <c r="AH101" i="9"/>
  <c r="AJ100" i="9"/>
  <c r="AI100" i="9"/>
  <c r="AH100" i="9"/>
  <c r="AJ99" i="9"/>
  <c r="AI99" i="9"/>
  <c r="AH99" i="9"/>
  <c r="AJ58" i="9"/>
  <c r="AI58" i="9"/>
  <c r="AH58" i="9"/>
  <c r="AJ57" i="9"/>
  <c r="AI57" i="9"/>
  <c r="AH57" i="9"/>
  <c r="AJ56" i="9"/>
  <c r="AI56" i="9"/>
  <c r="AH56" i="9"/>
  <c r="AJ55" i="9"/>
  <c r="AI55" i="9"/>
  <c r="AH55" i="9"/>
  <c r="AJ54" i="9"/>
  <c r="AI54" i="9"/>
  <c r="AH54" i="9"/>
  <c r="AJ51" i="9"/>
  <c r="AI51" i="9"/>
  <c r="AH51" i="9"/>
  <c r="AJ50" i="9"/>
  <c r="AI50" i="9"/>
  <c r="AH50" i="9"/>
  <c r="AJ49" i="9"/>
  <c r="AI49" i="9"/>
  <c r="AH49" i="9"/>
  <c r="AJ48" i="9"/>
  <c r="AI48" i="9"/>
  <c r="AH48" i="9"/>
  <c r="AJ47" i="9"/>
  <c r="AI47" i="9"/>
  <c r="AH47" i="9"/>
  <c r="AJ46" i="9"/>
  <c r="AI46" i="9"/>
  <c r="AH46" i="9"/>
  <c r="AJ45" i="9"/>
  <c r="AI45" i="9"/>
  <c r="AH45" i="9"/>
  <c r="AJ42" i="9"/>
  <c r="AI42" i="9"/>
  <c r="AH42" i="9"/>
  <c r="AJ41" i="9"/>
  <c r="AI41" i="9"/>
  <c r="AH41" i="9"/>
  <c r="AJ39" i="9"/>
  <c r="AI39" i="9"/>
  <c r="AH39" i="9"/>
  <c r="AJ38" i="9"/>
  <c r="AI38" i="9"/>
  <c r="AH38" i="9"/>
  <c r="AJ37" i="9"/>
  <c r="AI37" i="9"/>
  <c r="AH37" i="9"/>
  <c r="AJ36" i="9"/>
  <c r="AI36" i="9"/>
  <c r="AH36" i="9"/>
  <c r="AJ34" i="9"/>
  <c r="AI34" i="9"/>
  <c r="AH34" i="9"/>
  <c r="AJ32" i="9"/>
  <c r="AI32" i="9"/>
  <c r="AH32" i="9"/>
  <c r="AJ31" i="9"/>
  <c r="AI31" i="9"/>
  <c r="AH31" i="9"/>
  <c r="AJ29" i="9"/>
  <c r="AI29" i="9"/>
  <c r="AH29" i="9"/>
  <c r="AJ27" i="9"/>
  <c r="AI27" i="9"/>
  <c r="AH27" i="9"/>
  <c r="AJ25" i="9"/>
  <c r="AI25" i="9"/>
  <c r="AH25" i="9"/>
  <c r="AJ23" i="9"/>
  <c r="AI23" i="9"/>
  <c r="AH23" i="9"/>
  <c r="AJ22" i="9"/>
  <c r="AI22" i="9"/>
  <c r="AH22" i="9"/>
  <c r="AJ18" i="9"/>
  <c r="AI18" i="9"/>
  <c r="AH18" i="9"/>
  <c r="AJ17" i="9"/>
  <c r="AI17" i="9"/>
  <c r="AH17" i="9"/>
  <c r="AJ16" i="9"/>
  <c r="AI16" i="9"/>
  <c r="AH16" i="9"/>
  <c r="AJ15" i="9"/>
  <c r="AI15" i="9"/>
  <c r="AH15" i="9"/>
  <c r="AJ14" i="9"/>
  <c r="AI14" i="9"/>
  <c r="AH14" i="9"/>
  <c r="AK14" i="9"/>
  <c r="T12" i="20"/>
  <c r="V12" i="20"/>
  <c r="U12" i="20"/>
  <c r="V17" i="20"/>
  <c r="U17" i="20"/>
  <c r="T17" i="20"/>
  <c r="V16" i="20"/>
  <c r="U16" i="20"/>
  <c r="T16" i="20"/>
  <c r="V15" i="20"/>
  <c r="U15" i="20"/>
  <c r="T15" i="20"/>
  <c r="V14" i="20"/>
  <c r="U14" i="20"/>
  <c r="T14" i="20"/>
  <c r="V13" i="20"/>
  <c r="U13" i="20"/>
  <c r="T13" i="20"/>
  <c r="AN16" i="13"/>
  <c r="AK16" i="13"/>
  <c r="S61" i="20"/>
  <c r="S62" i="20"/>
  <c r="S63" i="20"/>
  <c r="S64" i="20"/>
  <c r="S65" i="20"/>
  <c r="S66" i="20"/>
  <c r="S67" i="20"/>
  <c r="S68" i="20"/>
  <c r="C68" i="20"/>
  <c r="W68" i="20" s="1"/>
  <c r="C67" i="20"/>
  <c r="Y67" i="20" s="1"/>
  <c r="C66" i="20"/>
  <c r="U66" i="20" s="1"/>
  <c r="C65" i="20"/>
  <c r="AB65" i="20" s="1"/>
  <c r="C63" i="20"/>
  <c r="W63" i="20" s="1"/>
  <c r="C62" i="20"/>
  <c r="Y62" i="20" s="1"/>
  <c r="C64" i="20"/>
  <c r="Z64" i="20" s="1"/>
  <c r="C61" i="20"/>
  <c r="Y61" i="20" s="1"/>
  <c r="S13" i="20"/>
  <c r="S14" i="20"/>
  <c r="S15" i="20"/>
  <c r="S16" i="20"/>
  <c r="S17" i="20"/>
  <c r="S12" i="20"/>
  <c r="F65" i="16" l="1"/>
  <c r="C65" i="16"/>
  <c r="D65" i="16"/>
  <c r="E65" i="16"/>
  <c r="M9" i="21"/>
  <c r="O9" i="21"/>
  <c r="N9" i="21"/>
  <c r="B15" i="16"/>
  <c r="P35" i="21"/>
  <c r="F59" i="16"/>
  <c r="F60" i="16" s="1"/>
  <c r="E59" i="16"/>
  <c r="E60" i="16" s="1"/>
  <c r="Y18" i="20"/>
  <c r="W18" i="20"/>
  <c r="X18" i="20"/>
  <c r="V18" i="20"/>
  <c r="U18" i="20"/>
  <c r="T18" i="20"/>
  <c r="T62" i="20"/>
  <c r="V61" i="20"/>
  <c r="U61" i="20"/>
  <c r="W64" i="20"/>
  <c r="AA64" i="20"/>
  <c r="X68" i="20"/>
  <c r="AB64" i="20"/>
  <c r="AA66" i="20"/>
  <c r="T66" i="20"/>
  <c r="T61" i="20"/>
  <c r="Y64" i="20"/>
  <c r="Z61" i="20"/>
  <c r="U68" i="20"/>
  <c r="U64" i="20"/>
  <c r="X65" i="20"/>
  <c r="AA61" i="20"/>
  <c r="AB66" i="20"/>
  <c r="X63" i="20"/>
  <c r="V65" i="20"/>
  <c r="Z65" i="20"/>
  <c r="U65" i="20"/>
  <c r="T68" i="20"/>
  <c r="T64" i="20"/>
  <c r="Y65" i="20"/>
  <c r="AB61" i="20"/>
  <c r="Z67" i="20"/>
  <c r="AA65" i="20"/>
  <c r="Z66" i="20"/>
  <c r="W66" i="20"/>
  <c r="Z62" i="20"/>
  <c r="AA67" i="20"/>
  <c r="Y63" i="20"/>
  <c r="V68" i="20"/>
  <c r="V67" i="20"/>
  <c r="V63" i="20"/>
  <c r="W61" i="20"/>
  <c r="X66" i="20"/>
  <c r="AA62" i="20"/>
  <c r="AB67" i="20"/>
  <c r="X64" i="20"/>
  <c r="W65" i="20"/>
  <c r="U67" i="20"/>
  <c r="U63" i="20"/>
  <c r="X61" i="20"/>
  <c r="Y66" i="20"/>
  <c r="AB62" i="20"/>
  <c r="Z68" i="20"/>
  <c r="T65" i="20"/>
  <c r="V64" i="20"/>
  <c r="T67" i="20"/>
  <c r="T63" i="20"/>
  <c r="W67" i="20"/>
  <c r="Z63" i="20"/>
  <c r="AA68" i="20"/>
  <c r="W62" i="20"/>
  <c r="X67" i="20"/>
  <c r="AA63" i="20"/>
  <c r="AB68" i="20"/>
  <c r="V66" i="20"/>
  <c r="V62" i="20"/>
  <c r="X62" i="20"/>
  <c r="AB63" i="20"/>
  <c r="Y68" i="20"/>
  <c r="U62" i="20"/>
  <c r="B85" i="15"/>
  <c r="C85" i="15" s="1"/>
  <c r="AK77" i="13"/>
  <c r="AL77" i="13"/>
  <c r="AM77" i="13"/>
  <c r="AN77" i="13"/>
  <c r="AO77" i="13"/>
  <c r="AP77" i="13"/>
  <c r="N77" i="13"/>
  <c r="O77" i="13"/>
  <c r="B77" i="13"/>
  <c r="B72" i="12"/>
  <c r="C72" i="12" s="1"/>
  <c r="AK75" i="9"/>
  <c r="AL75" i="9"/>
  <c r="AM75" i="9"/>
  <c r="AN75" i="9"/>
  <c r="AO75" i="9"/>
  <c r="AP75" i="9"/>
  <c r="N75" i="9"/>
  <c r="O75" i="9"/>
  <c r="B75" i="9"/>
  <c r="D81" i="3"/>
  <c r="B81" i="3"/>
  <c r="B65" i="16" l="1"/>
  <c r="U69" i="20"/>
  <c r="AB69" i="20"/>
  <c r="AA69" i="20"/>
  <c r="Y69" i="20"/>
  <c r="V69" i="20"/>
  <c r="Z69" i="20"/>
  <c r="W69" i="20"/>
  <c r="T69" i="20"/>
  <c r="X69" i="20"/>
  <c r="I17" i="20"/>
  <c r="I16" i="20"/>
  <c r="I15" i="20"/>
  <c r="I14" i="20"/>
  <c r="I13" i="20"/>
  <c r="I12" i="20"/>
  <c r="O17" i="21"/>
  <c r="N17" i="21"/>
  <c r="M17" i="21"/>
  <c r="L17" i="21"/>
  <c r="B64" i="16" l="1"/>
  <c r="E49" i="32"/>
  <c r="E48" i="32"/>
  <c r="E47" i="32"/>
  <c r="E46" i="32"/>
  <c r="E45" i="32"/>
  <c r="E52" i="32"/>
  <c r="E51" i="32"/>
  <c r="E50" i="32"/>
  <c r="E44" i="32"/>
  <c r="E43" i="32"/>
  <c r="E42" i="32"/>
  <c r="E41" i="32"/>
  <c r="E40" i="32"/>
  <c r="E39" i="32"/>
  <c r="E38" i="32"/>
  <c r="E37" i="32"/>
  <c r="D36" i="32"/>
  <c r="E36" i="32" s="1"/>
  <c r="E35" i="32"/>
  <c r="M77" i="13" l="1"/>
  <c r="M58" i="13"/>
  <c r="M36" i="13"/>
  <c r="M76" i="13"/>
  <c r="M57" i="13"/>
  <c r="M34" i="13"/>
  <c r="M75" i="13"/>
  <c r="M56" i="13"/>
  <c r="M33" i="13"/>
  <c r="M74" i="13"/>
  <c r="M53" i="13"/>
  <c r="M31" i="13"/>
  <c r="M40" i="13"/>
  <c r="N5" i="26"/>
  <c r="J5" i="26" s="1"/>
  <c r="M73" i="13"/>
  <c r="M52" i="13"/>
  <c r="M29" i="13"/>
  <c r="M72" i="13"/>
  <c r="M51" i="13"/>
  <c r="M27" i="13"/>
  <c r="M71" i="13"/>
  <c r="M50" i="13"/>
  <c r="M25" i="13"/>
  <c r="M70" i="13"/>
  <c r="M49" i="13"/>
  <c r="M24" i="13"/>
  <c r="M85" i="13"/>
  <c r="M69" i="13"/>
  <c r="M48" i="13"/>
  <c r="M20" i="13"/>
  <c r="M84" i="13"/>
  <c r="M68" i="13"/>
  <c r="M47" i="13"/>
  <c r="M19" i="13"/>
  <c r="M83" i="13"/>
  <c r="M67" i="13"/>
  <c r="M44" i="13"/>
  <c r="M18" i="13"/>
  <c r="M82" i="13"/>
  <c r="M66" i="13"/>
  <c r="M43" i="13"/>
  <c r="M17" i="13"/>
  <c r="M81" i="13"/>
  <c r="M65" i="13"/>
  <c r="M41" i="13"/>
  <c r="M16" i="13"/>
  <c r="M64" i="13"/>
  <c r="M79" i="13"/>
  <c r="M60" i="13"/>
  <c r="M39" i="13"/>
  <c r="M80" i="13"/>
  <c r="M78" i="13"/>
  <c r="M59" i="13"/>
  <c r="M38" i="13"/>
  <c r="M96" i="9"/>
  <c r="M77" i="9"/>
  <c r="M57" i="9"/>
  <c r="M36" i="9"/>
  <c r="M95" i="9"/>
  <c r="M76" i="9"/>
  <c r="M56" i="9"/>
  <c r="M34" i="9"/>
  <c r="M101" i="9"/>
  <c r="M58" i="9"/>
  <c r="M94" i="9"/>
  <c r="M74" i="9"/>
  <c r="M55" i="9"/>
  <c r="M32" i="9"/>
  <c r="M62" i="9"/>
  <c r="M75" i="9"/>
  <c r="M93" i="9"/>
  <c r="M73" i="9"/>
  <c r="M54" i="9"/>
  <c r="M31" i="9"/>
  <c r="M100" i="9"/>
  <c r="M92" i="9"/>
  <c r="M72" i="9"/>
  <c r="M51" i="9"/>
  <c r="M29" i="9"/>
  <c r="M16" i="9"/>
  <c r="M15" i="9"/>
  <c r="M64" i="9"/>
  <c r="M38" i="9"/>
  <c r="M91" i="9"/>
  <c r="M71" i="9"/>
  <c r="M50" i="9"/>
  <c r="M27" i="9"/>
  <c r="M87" i="9"/>
  <c r="M65" i="9"/>
  <c r="M81" i="9"/>
  <c r="M80" i="9"/>
  <c r="M99" i="9"/>
  <c r="M90" i="9"/>
  <c r="M70" i="9"/>
  <c r="M49" i="9"/>
  <c r="M25" i="9"/>
  <c r="M46" i="9"/>
  <c r="M45" i="9"/>
  <c r="M82" i="9"/>
  <c r="M41" i="9"/>
  <c r="M63" i="9"/>
  <c r="M89" i="9"/>
  <c r="M69" i="9"/>
  <c r="M48" i="9"/>
  <c r="M18" i="9"/>
  <c r="M67" i="9"/>
  <c r="M66" i="9"/>
  <c r="M39" i="9"/>
  <c r="M78" i="9"/>
  <c r="M88" i="9"/>
  <c r="M68" i="9"/>
  <c r="M47" i="9"/>
  <c r="M17" i="9"/>
  <c r="M83" i="9"/>
  <c r="M14" i="9"/>
  <c r="M37" i="9"/>
  <c r="M42" i="9"/>
  <c r="M79" i="9"/>
  <c r="I15" i="10" l="1"/>
  <c r="E15" i="10" s="1"/>
  <c r="E43" i="10" l="1"/>
  <c r="C36" i="1" l="1"/>
  <c r="U55" i="29"/>
  <c r="M68" i="20"/>
  <c r="L68" i="20"/>
  <c r="M67" i="20"/>
  <c r="L67" i="20"/>
  <c r="M66" i="20"/>
  <c r="L66" i="20"/>
  <c r="M65" i="20"/>
  <c r="L65" i="20"/>
  <c r="M64" i="20"/>
  <c r="L64" i="20"/>
  <c r="M63" i="20"/>
  <c r="L63" i="20"/>
  <c r="M62" i="20"/>
  <c r="L62" i="20"/>
  <c r="M61" i="20"/>
  <c r="L61" i="20"/>
  <c r="N65" i="9"/>
  <c r="O65" i="9"/>
  <c r="N66" i="9"/>
  <c r="O66" i="9"/>
  <c r="AK65" i="9"/>
  <c r="AL65" i="9"/>
  <c r="AM65" i="9"/>
  <c r="AN65" i="9"/>
  <c r="AO65" i="9"/>
  <c r="AP65" i="9"/>
  <c r="AK66" i="9"/>
  <c r="AL66" i="9"/>
  <c r="AM66" i="9"/>
  <c r="AN66" i="9"/>
  <c r="AO66" i="9"/>
  <c r="AP66" i="9"/>
  <c r="AK68" i="13"/>
  <c r="AL68" i="13"/>
  <c r="AM68" i="13"/>
  <c r="AN68" i="13"/>
  <c r="AO68" i="13"/>
  <c r="AP68" i="13"/>
  <c r="N68" i="13"/>
  <c r="O68" i="13"/>
  <c r="AK67" i="13"/>
  <c r="AL67" i="13"/>
  <c r="AM67" i="13"/>
  <c r="AN67" i="13"/>
  <c r="AO67" i="13"/>
  <c r="AP67" i="13"/>
  <c r="D74" i="3"/>
  <c r="B66" i="9" s="1"/>
  <c r="D73" i="3"/>
  <c r="B62" i="12" s="1"/>
  <c r="C62" i="12" s="1"/>
  <c r="O67" i="13"/>
  <c r="N67" i="13"/>
  <c r="B67" i="13" l="1"/>
  <c r="B68" i="13"/>
  <c r="B63" i="12"/>
  <c r="C63" i="12" s="1"/>
  <c r="B75" i="15"/>
  <c r="C75" i="15" s="1"/>
  <c r="B65" i="9"/>
  <c r="B76" i="15"/>
  <c r="C76" i="15" s="1"/>
  <c r="C75" i="29"/>
  <c r="C72" i="29"/>
  <c r="C71" i="29"/>
  <c r="C73" i="29"/>
  <c r="C74" i="29"/>
  <c r="U58" i="29"/>
  <c r="C70" i="29"/>
  <c r="C69" i="29"/>
  <c r="C68" i="29"/>
  <c r="L73" i="29"/>
  <c r="M73" i="29"/>
  <c r="L74" i="29"/>
  <c r="M74" i="29"/>
  <c r="L75" i="29"/>
  <c r="M75" i="29"/>
  <c r="M72" i="29"/>
  <c r="L72" i="29"/>
  <c r="M71" i="29"/>
  <c r="L71" i="29"/>
  <c r="M70" i="29"/>
  <c r="L70" i="29"/>
  <c r="M69" i="29"/>
  <c r="L69" i="29"/>
  <c r="M68" i="29"/>
  <c r="L68" i="29"/>
  <c r="AP101" i="9"/>
  <c r="AO101" i="9"/>
  <c r="AN101" i="9"/>
  <c r="AM101" i="9"/>
  <c r="AL101" i="9"/>
  <c r="AK101" i="9"/>
  <c r="AP100" i="9"/>
  <c r="AO100" i="9"/>
  <c r="AN100" i="9"/>
  <c r="AM100" i="9"/>
  <c r="AL100" i="9"/>
  <c r="AK100" i="9"/>
  <c r="AP99" i="9"/>
  <c r="AO99" i="9"/>
  <c r="AN99" i="9"/>
  <c r="AM99" i="9"/>
  <c r="AL99" i="9"/>
  <c r="AK99" i="9"/>
  <c r="AP96" i="9"/>
  <c r="AO96" i="9"/>
  <c r="AN96" i="9"/>
  <c r="AM96" i="9"/>
  <c r="AL96" i="9"/>
  <c r="AK96" i="9"/>
  <c r="AG96" i="9"/>
  <c r="AP95" i="9"/>
  <c r="AO95" i="9"/>
  <c r="AN95" i="9"/>
  <c r="AM95" i="9"/>
  <c r="AL95" i="9"/>
  <c r="AK95" i="9"/>
  <c r="AG95" i="9"/>
  <c r="AP94" i="9"/>
  <c r="AO94" i="9"/>
  <c r="AN94" i="9"/>
  <c r="AM94" i="9"/>
  <c r="AL94" i="9"/>
  <c r="AK94" i="9"/>
  <c r="AG94" i="9"/>
  <c r="AP93" i="9"/>
  <c r="AO93" i="9"/>
  <c r="AN93" i="9"/>
  <c r="AM93" i="9"/>
  <c r="AL93" i="9"/>
  <c r="AK93" i="9"/>
  <c r="AG93" i="9"/>
  <c r="AP92" i="9"/>
  <c r="AO92" i="9"/>
  <c r="AN92" i="9"/>
  <c r="AM92" i="9"/>
  <c r="AL92" i="9"/>
  <c r="AK92" i="9"/>
  <c r="AG92" i="9"/>
  <c r="AP91" i="9"/>
  <c r="AO91" i="9"/>
  <c r="AN91" i="9"/>
  <c r="AM91" i="9"/>
  <c r="AL91" i="9"/>
  <c r="AK91" i="9"/>
  <c r="AG91" i="9"/>
  <c r="AP90" i="9"/>
  <c r="AO90" i="9"/>
  <c r="AN90" i="9"/>
  <c r="AM90" i="9"/>
  <c r="AL90" i="9"/>
  <c r="AK90" i="9"/>
  <c r="AG90" i="9"/>
  <c r="AP89" i="9"/>
  <c r="AO89" i="9"/>
  <c r="AN89" i="9"/>
  <c r="AM89" i="9"/>
  <c r="AL89" i="9"/>
  <c r="AK89" i="9"/>
  <c r="AG89" i="9"/>
  <c r="AP88" i="9"/>
  <c r="AO88" i="9"/>
  <c r="AN88" i="9"/>
  <c r="AM88" i="9"/>
  <c r="AL88" i="9"/>
  <c r="AK88" i="9"/>
  <c r="AG88" i="9"/>
  <c r="AP87" i="9"/>
  <c r="AO87" i="9"/>
  <c r="AN87" i="9"/>
  <c r="AM87" i="9"/>
  <c r="AL87" i="9"/>
  <c r="AK87" i="9"/>
  <c r="AG87" i="9"/>
  <c r="AP83" i="9"/>
  <c r="AO83" i="9"/>
  <c r="AN83" i="9"/>
  <c r="AM83" i="9"/>
  <c r="AL83" i="9"/>
  <c r="AK83" i="9"/>
  <c r="AP82" i="9"/>
  <c r="AO82" i="9"/>
  <c r="AN82" i="9"/>
  <c r="AM82" i="9"/>
  <c r="AL82" i="9"/>
  <c r="AK82" i="9"/>
  <c r="AP81" i="9"/>
  <c r="AO81" i="9"/>
  <c r="AN81" i="9"/>
  <c r="AM81" i="9"/>
  <c r="AL81" i="9"/>
  <c r="AK81" i="9"/>
  <c r="AP80" i="9"/>
  <c r="AO80" i="9"/>
  <c r="AN80" i="9"/>
  <c r="AM80" i="9"/>
  <c r="AL80" i="9"/>
  <c r="AK80" i="9"/>
  <c r="AP79" i="9"/>
  <c r="AO79" i="9"/>
  <c r="AN79" i="9"/>
  <c r="AM79" i="9"/>
  <c r="AL79" i="9"/>
  <c r="AK79" i="9"/>
  <c r="AP78" i="9"/>
  <c r="AO78" i="9"/>
  <c r="AN78" i="9"/>
  <c r="AM78" i="9"/>
  <c r="AL78" i="9"/>
  <c r="AK78" i="9"/>
  <c r="AP77" i="9"/>
  <c r="AO77" i="9"/>
  <c r="AN77" i="9"/>
  <c r="AM77" i="9"/>
  <c r="AL77" i="9"/>
  <c r="AK77" i="9"/>
  <c r="AP76" i="9"/>
  <c r="AO76" i="9"/>
  <c r="AN76" i="9"/>
  <c r="AM76" i="9"/>
  <c r="AL76" i="9"/>
  <c r="AK76" i="9"/>
  <c r="AP74" i="9"/>
  <c r="AO74" i="9"/>
  <c r="AN74" i="9"/>
  <c r="AM74" i="9"/>
  <c r="AL74" i="9"/>
  <c r="AK74" i="9"/>
  <c r="AP73" i="9"/>
  <c r="AO73" i="9"/>
  <c r="AN73" i="9"/>
  <c r="AM73" i="9"/>
  <c r="AL73" i="9"/>
  <c r="AK73" i="9"/>
  <c r="AP72" i="9"/>
  <c r="AO72" i="9"/>
  <c r="AN72" i="9"/>
  <c r="AM72" i="9"/>
  <c r="AL72" i="9"/>
  <c r="AK72" i="9"/>
  <c r="AP71" i="9"/>
  <c r="AO71" i="9"/>
  <c r="AN71" i="9"/>
  <c r="AM71" i="9"/>
  <c r="AL71" i="9"/>
  <c r="AK71" i="9"/>
  <c r="AP70" i="9"/>
  <c r="AO70" i="9"/>
  <c r="AN70" i="9"/>
  <c r="AM70" i="9"/>
  <c r="AL70" i="9"/>
  <c r="AK70" i="9"/>
  <c r="AP69" i="9"/>
  <c r="AO69" i="9"/>
  <c r="AN69" i="9"/>
  <c r="AM69" i="9"/>
  <c r="AL69" i="9"/>
  <c r="AK69" i="9"/>
  <c r="AP68" i="9"/>
  <c r="AO68" i="9"/>
  <c r="AN68" i="9"/>
  <c r="AM68" i="9"/>
  <c r="AL68" i="9"/>
  <c r="AK68" i="9"/>
  <c r="AP67" i="9"/>
  <c r="AO67" i="9"/>
  <c r="AN67" i="9"/>
  <c r="AM67" i="9"/>
  <c r="AL67" i="9"/>
  <c r="AK67" i="9"/>
  <c r="AP64" i="9"/>
  <c r="AO64" i="9"/>
  <c r="AN64" i="9"/>
  <c r="AM64" i="9"/>
  <c r="AL64" i="9"/>
  <c r="AK64" i="9"/>
  <c r="AP63" i="9"/>
  <c r="AO63" i="9"/>
  <c r="AN63" i="9"/>
  <c r="AM63" i="9"/>
  <c r="AL63" i="9"/>
  <c r="AK63" i="9"/>
  <c r="AP62" i="9"/>
  <c r="AO62" i="9"/>
  <c r="AN62" i="9"/>
  <c r="AM62" i="9"/>
  <c r="AL62" i="9"/>
  <c r="AK62" i="9"/>
  <c r="AP58" i="9"/>
  <c r="AO58" i="9"/>
  <c r="AN58" i="9"/>
  <c r="AM58" i="9"/>
  <c r="AL58" i="9"/>
  <c r="AK58" i="9"/>
  <c r="AP57" i="9"/>
  <c r="AO57" i="9"/>
  <c r="AN57" i="9"/>
  <c r="AM57" i="9"/>
  <c r="AL57" i="9"/>
  <c r="AK57" i="9"/>
  <c r="AP56" i="9"/>
  <c r="AO56" i="9"/>
  <c r="AN56" i="9"/>
  <c r="AM56" i="9"/>
  <c r="AL56" i="9"/>
  <c r="AK56" i="9"/>
  <c r="AP55" i="9"/>
  <c r="AO55" i="9"/>
  <c r="AN55" i="9"/>
  <c r="AM55" i="9"/>
  <c r="AL55" i="9"/>
  <c r="AK55" i="9"/>
  <c r="AP54" i="9"/>
  <c r="AO54" i="9"/>
  <c r="AN54" i="9"/>
  <c r="AM54" i="9"/>
  <c r="AL54" i="9"/>
  <c r="AK54" i="9"/>
  <c r="AP51" i="9"/>
  <c r="AO51" i="9"/>
  <c r="AN51" i="9"/>
  <c r="AM51" i="9"/>
  <c r="AL51" i="9"/>
  <c r="AK51" i="9"/>
  <c r="AP50" i="9"/>
  <c r="AO50" i="9"/>
  <c r="AN50" i="9"/>
  <c r="AM50" i="9"/>
  <c r="AL50" i="9"/>
  <c r="AK50" i="9"/>
  <c r="AP49" i="9"/>
  <c r="AO49" i="9"/>
  <c r="AN49" i="9"/>
  <c r="AM49" i="9"/>
  <c r="AL49" i="9"/>
  <c r="AK49" i="9"/>
  <c r="AP48" i="9"/>
  <c r="AO48" i="9"/>
  <c r="AN48" i="9"/>
  <c r="AM48" i="9"/>
  <c r="AL48" i="9"/>
  <c r="AK48" i="9"/>
  <c r="AP47" i="9"/>
  <c r="AO47" i="9"/>
  <c r="AN47" i="9"/>
  <c r="AM47" i="9"/>
  <c r="AL47" i="9"/>
  <c r="AK47" i="9"/>
  <c r="AP46" i="9"/>
  <c r="AO46" i="9"/>
  <c r="AN46" i="9"/>
  <c r="AM46" i="9"/>
  <c r="AL46" i="9"/>
  <c r="AK46" i="9"/>
  <c r="AP45" i="9"/>
  <c r="AO45" i="9"/>
  <c r="AN45" i="9"/>
  <c r="AM45" i="9"/>
  <c r="AL45" i="9"/>
  <c r="AK45" i="9"/>
  <c r="AP42" i="9"/>
  <c r="AO42" i="9"/>
  <c r="AN42" i="9"/>
  <c r="AM42" i="9"/>
  <c r="AL42" i="9"/>
  <c r="AK42" i="9"/>
  <c r="AP41" i="9"/>
  <c r="AO41" i="9"/>
  <c r="AN41" i="9"/>
  <c r="AM41" i="9"/>
  <c r="AL41" i="9"/>
  <c r="AK41" i="9"/>
  <c r="AP39" i="9"/>
  <c r="AO39" i="9"/>
  <c r="AN39" i="9"/>
  <c r="AM39" i="9"/>
  <c r="AL39" i="9"/>
  <c r="AK39" i="9"/>
  <c r="AP38" i="9"/>
  <c r="AO38" i="9"/>
  <c r="AN38" i="9"/>
  <c r="AM38" i="9"/>
  <c r="AL38" i="9"/>
  <c r="AK38" i="9"/>
  <c r="AP37" i="9"/>
  <c r="AO37" i="9"/>
  <c r="AN37" i="9"/>
  <c r="AM37" i="9"/>
  <c r="AL37" i="9"/>
  <c r="AK37" i="9"/>
  <c r="AP36" i="9"/>
  <c r="AO36" i="9"/>
  <c r="AN36" i="9"/>
  <c r="AM36" i="9"/>
  <c r="AL36" i="9"/>
  <c r="AK36" i="9"/>
  <c r="AP34" i="9"/>
  <c r="AO34" i="9"/>
  <c r="AN34" i="9"/>
  <c r="AM34" i="9"/>
  <c r="AL34" i="9"/>
  <c r="AK34" i="9"/>
  <c r="AP32" i="9"/>
  <c r="AO32" i="9"/>
  <c r="AN32" i="9"/>
  <c r="AM32" i="9"/>
  <c r="AL32" i="9"/>
  <c r="AK32" i="9"/>
  <c r="AP31" i="9"/>
  <c r="AO31" i="9"/>
  <c r="AN31" i="9"/>
  <c r="AM31" i="9"/>
  <c r="AL31" i="9"/>
  <c r="AK31" i="9"/>
  <c r="AP29" i="9"/>
  <c r="AO29" i="9"/>
  <c r="AN29" i="9"/>
  <c r="AM29" i="9"/>
  <c r="AL29" i="9"/>
  <c r="AK29" i="9"/>
  <c r="AP27" i="9"/>
  <c r="AO27" i="9"/>
  <c r="AN27" i="9"/>
  <c r="AM27" i="9"/>
  <c r="AL27" i="9"/>
  <c r="AK27" i="9"/>
  <c r="AP25" i="9"/>
  <c r="AO25" i="9"/>
  <c r="AN25" i="9"/>
  <c r="AM25" i="9"/>
  <c r="AL25" i="9"/>
  <c r="AK25" i="9"/>
  <c r="AP23" i="9"/>
  <c r="AO23" i="9"/>
  <c r="AN23" i="9"/>
  <c r="AM23" i="9"/>
  <c r="AL23" i="9"/>
  <c r="AK23" i="9"/>
  <c r="AP22" i="9"/>
  <c r="AO22" i="9"/>
  <c r="AN22" i="9"/>
  <c r="AM22" i="9"/>
  <c r="AL22" i="9"/>
  <c r="AK22" i="9"/>
  <c r="AP18" i="9"/>
  <c r="AO18" i="9"/>
  <c r="AN18" i="9"/>
  <c r="AM18" i="9"/>
  <c r="AL18" i="9"/>
  <c r="AK18" i="9"/>
  <c r="AP17" i="9"/>
  <c r="AO17" i="9"/>
  <c r="AN17" i="9"/>
  <c r="AM17" i="9"/>
  <c r="AL17" i="9"/>
  <c r="AK17" i="9"/>
  <c r="AP16" i="9"/>
  <c r="AO16" i="9"/>
  <c r="AN16" i="9"/>
  <c r="AM16" i="9"/>
  <c r="AL16" i="9"/>
  <c r="AK16" i="9"/>
  <c r="AP15" i="9"/>
  <c r="AO15" i="9"/>
  <c r="AN15" i="9"/>
  <c r="AM15" i="9"/>
  <c r="AL15" i="9"/>
  <c r="AK15" i="9"/>
  <c r="AP14" i="9"/>
  <c r="AO14" i="9"/>
  <c r="AN14" i="9"/>
  <c r="AM14" i="9"/>
  <c r="AL14" i="9"/>
  <c r="AG90" i="13"/>
  <c r="AG91" i="13"/>
  <c r="AG92" i="13"/>
  <c r="AG93" i="13"/>
  <c r="AG94" i="13"/>
  <c r="AG95" i="13"/>
  <c r="AG96" i="13"/>
  <c r="AG97" i="13"/>
  <c r="AG98" i="13"/>
  <c r="AG89" i="13"/>
  <c r="O101" i="9"/>
  <c r="N101" i="9"/>
  <c r="O100" i="9"/>
  <c r="N100" i="9"/>
  <c r="O99" i="9"/>
  <c r="N99" i="9"/>
  <c r="O96" i="9"/>
  <c r="N96" i="9"/>
  <c r="O95" i="9"/>
  <c r="N95" i="9"/>
  <c r="O94" i="9"/>
  <c r="N94" i="9"/>
  <c r="O93" i="9"/>
  <c r="N93" i="9"/>
  <c r="O92" i="9"/>
  <c r="N92" i="9"/>
  <c r="O91" i="9"/>
  <c r="N91" i="9"/>
  <c r="O90" i="9"/>
  <c r="N90" i="9"/>
  <c r="O89" i="9"/>
  <c r="N89" i="9"/>
  <c r="O88" i="9"/>
  <c r="N88" i="9"/>
  <c r="O87" i="9"/>
  <c r="N87" i="9"/>
  <c r="O83" i="9"/>
  <c r="N83" i="9"/>
  <c r="O82" i="9"/>
  <c r="N82" i="9"/>
  <c r="O81" i="9"/>
  <c r="N81" i="9"/>
  <c r="O80" i="9"/>
  <c r="N80" i="9"/>
  <c r="O79" i="9"/>
  <c r="N79" i="9"/>
  <c r="O78" i="9"/>
  <c r="N78" i="9"/>
  <c r="O77" i="9"/>
  <c r="N77" i="9"/>
  <c r="O76" i="9"/>
  <c r="N76" i="9"/>
  <c r="O74" i="9"/>
  <c r="N74" i="9"/>
  <c r="O73" i="9"/>
  <c r="N73" i="9"/>
  <c r="O72" i="9"/>
  <c r="N72" i="9"/>
  <c r="O71" i="9"/>
  <c r="N71" i="9"/>
  <c r="O70" i="9"/>
  <c r="N70" i="9"/>
  <c r="O69" i="9"/>
  <c r="N69" i="9"/>
  <c r="O68" i="9"/>
  <c r="N68" i="9"/>
  <c r="O67" i="9"/>
  <c r="N67" i="9"/>
  <c r="O64" i="9"/>
  <c r="N64" i="9"/>
  <c r="O63" i="9"/>
  <c r="N63" i="9"/>
  <c r="O62" i="9"/>
  <c r="N62" i="9"/>
  <c r="O58" i="9"/>
  <c r="N58" i="9"/>
  <c r="O57" i="9"/>
  <c r="N57" i="9"/>
  <c r="O56" i="9"/>
  <c r="N56" i="9"/>
  <c r="O55" i="9"/>
  <c r="N55" i="9"/>
  <c r="O54" i="9"/>
  <c r="N54" i="9"/>
  <c r="O51" i="9"/>
  <c r="N51" i="9"/>
  <c r="O50" i="9"/>
  <c r="N50" i="9"/>
  <c r="O49" i="9"/>
  <c r="N49" i="9"/>
  <c r="O48" i="9"/>
  <c r="N48" i="9"/>
  <c r="O47" i="9"/>
  <c r="N47" i="9"/>
  <c r="O46" i="9"/>
  <c r="N46" i="9"/>
  <c r="O45" i="9"/>
  <c r="N45" i="9"/>
  <c r="O42" i="9"/>
  <c r="N42" i="9"/>
  <c r="O41" i="9"/>
  <c r="N41" i="9"/>
  <c r="O39" i="9"/>
  <c r="N39" i="9"/>
  <c r="O38" i="9"/>
  <c r="N38" i="9"/>
  <c r="O37" i="9"/>
  <c r="N37" i="9"/>
  <c r="O36" i="9"/>
  <c r="N36" i="9"/>
  <c r="O34" i="9"/>
  <c r="N34" i="9"/>
  <c r="O32" i="9"/>
  <c r="N32" i="9"/>
  <c r="O31" i="9"/>
  <c r="N31" i="9"/>
  <c r="O29" i="9"/>
  <c r="N29" i="9"/>
  <c r="O27" i="9"/>
  <c r="N27" i="9"/>
  <c r="O25" i="9"/>
  <c r="N25" i="9"/>
  <c r="O23" i="9"/>
  <c r="N23" i="9"/>
  <c r="O22" i="9"/>
  <c r="N22" i="9"/>
  <c r="O18" i="9"/>
  <c r="N18" i="9"/>
  <c r="O17" i="9"/>
  <c r="N17" i="9"/>
  <c r="O16" i="9"/>
  <c r="N16" i="9"/>
  <c r="O15" i="9"/>
  <c r="N15" i="9"/>
  <c r="O14" i="9"/>
  <c r="N14" i="9"/>
  <c r="AK65" i="13"/>
  <c r="AL65" i="13"/>
  <c r="AM65" i="13"/>
  <c r="AN65" i="13"/>
  <c r="AO65" i="13"/>
  <c r="AP65" i="13"/>
  <c r="AK66" i="13"/>
  <c r="AL66" i="13"/>
  <c r="AM66" i="13"/>
  <c r="AN66" i="13"/>
  <c r="AO66" i="13"/>
  <c r="AP66" i="13"/>
  <c r="AK69" i="13"/>
  <c r="AL69" i="13"/>
  <c r="AM69" i="13"/>
  <c r="AN69" i="13"/>
  <c r="AO69" i="13"/>
  <c r="AP69" i="13"/>
  <c r="AK70" i="13"/>
  <c r="AL70" i="13"/>
  <c r="AM70" i="13"/>
  <c r="AN70" i="13"/>
  <c r="AO70" i="13"/>
  <c r="AP70" i="13"/>
  <c r="AK71" i="13"/>
  <c r="AL71" i="13"/>
  <c r="AM71" i="13"/>
  <c r="AN71" i="13"/>
  <c r="AO71" i="13"/>
  <c r="AP71" i="13"/>
  <c r="AK72" i="13"/>
  <c r="AL72" i="13"/>
  <c r="AM72" i="13"/>
  <c r="AN72" i="13"/>
  <c r="AO72" i="13"/>
  <c r="AP72" i="13"/>
  <c r="AK73" i="13"/>
  <c r="AL73" i="13"/>
  <c r="AM73" i="13"/>
  <c r="AN73" i="13"/>
  <c r="AO73" i="13"/>
  <c r="AP73" i="13"/>
  <c r="AK74" i="13"/>
  <c r="AL74" i="13"/>
  <c r="AM74" i="13"/>
  <c r="AN74" i="13"/>
  <c r="AO74" i="13"/>
  <c r="AP74" i="13"/>
  <c r="AK75" i="13"/>
  <c r="AL75" i="13"/>
  <c r="AM75" i="13"/>
  <c r="AN75" i="13"/>
  <c r="AO75" i="13"/>
  <c r="AP75" i="13"/>
  <c r="AK76" i="13"/>
  <c r="AL76" i="13"/>
  <c r="AM76" i="13"/>
  <c r="AN76" i="13"/>
  <c r="AO76" i="13"/>
  <c r="AP76" i="13"/>
  <c r="AK78" i="13"/>
  <c r="AL78" i="13"/>
  <c r="AM78" i="13"/>
  <c r="AN78" i="13"/>
  <c r="AO78" i="13"/>
  <c r="AP78" i="13"/>
  <c r="AK79" i="13"/>
  <c r="AL79" i="13"/>
  <c r="AM79" i="13"/>
  <c r="AN79" i="13"/>
  <c r="AO79" i="13"/>
  <c r="AP79" i="13"/>
  <c r="AK80" i="13"/>
  <c r="AL80" i="13"/>
  <c r="AM80" i="13"/>
  <c r="AN80" i="13"/>
  <c r="AO80" i="13"/>
  <c r="AP80" i="13"/>
  <c r="AK81" i="13"/>
  <c r="AL81" i="13"/>
  <c r="AM81" i="13"/>
  <c r="AN81" i="13"/>
  <c r="AO81" i="13"/>
  <c r="AP81" i="13"/>
  <c r="AK82" i="13"/>
  <c r="AL82" i="13"/>
  <c r="AM82" i="13"/>
  <c r="AN82" i="13"/>
  <c r="AO82" i="13"/>
  <c r="AP82" i="13"/>
  <c r="AK83" i="13"/>
  <c r="AL83" i="13"/>
  <c r="AM83" i="13"/>
  <c r="AN83" i="13"/>
  <c r="AO83" i="13"/>
  <c r="AP83" i="13"/>
  <c r="AK84" i="13"/>
  <c r="AL84" i="13"/>
  <c r="AM84" i="13"/>
  <c r="AN84" i="13"/>
  <c r="AO84" i="13"/>
  <c r="AP84" i="13"/>
  <c r="AK85" i="13"/>
  <c r="AL85" i="13"/>
  <c r="AM85" i="13"/>
  <c r="AN85" i="13"/>
  <c r="AO85" i="13"/>
  <c r="AP85" i="13"/>
  <c r="AK89" i="13"/>
  <c r="AL89" i="13"/>
  <c r="AM89" i="13"/>
  <c r="AN89" i="13"/>
  <c r="AO89" i="13"/>
  <c r="AP89" i="13"/>
  <c r="AK90" i="13"/>
  <c r="AL90" i="13"/>
  <c r="AM90" i="13"/>
  <c r="AN90" i="13"/>
  <c r="AO90" i="13"/>
  <c r="AP90" i="13"/>
  <c r="AK91" i="13"/>
  <c r="AL91" i="13"/>
  <c r="AM91" i="13"/>
  <c r="AN91" i="13"/>
  <c r="AO91" i="13"/>
  <c r="AP91" i="13"/>
  <c r="AK92" i="13"/>
  <c r="AL92" i="13"/>
  <c r="AM92" i="13"/>
  <c r="AN92" i="13"/>
  <c r="AO92" i="13"/>
  <c r="AP92" i="13"/>
  <c r="AK93" i="13"/>
  <c r="AL93" i="13"/>
  <c r="AM93" i="13"/>
  <c r="AN93" i="13"/>
  <c r="AO93" i="13"/>
  <c r="AP93" i="13"/>
  <c r="AK94" i="13"/>
  <c r="AL94" i="13"/>
  <c r="AM94" i="13"/>
  <c r="AN94" i="13"/>
  <c r="AO94" i="13"/>
  <c r="AP94" i="13"/>
  <c r="AK95" i="13"/>
  <c r="AL95" i="13"/>
  <c r="AM95" i="13"/>
  <c r="AN95" i="13"/>
  <c r="AO95" i="13"/>
  <c r="AP95" i="13"/>
  <c r="AK96" i="13"/>
  <c r="AL96" i="13"/>
  <c r="AM96" i="13"/>
  <c r="AN96" i="13"/>
  <c r="AO96" i="13"/>
  <c r="AP96" i="13"/>
  <c r="AK97" i="13"/>
  <c r="AL97" i="13"/>
  <c r="AM97" i="13"/>
  <c r="AN97" i="13"/>
  <c r="AO97" i="13"/>
  <c r="AP97" i="13"/>
  <c r="AK98" i="13"/>
  <c r="AL98" i="13"/>
  <c r="AM98" i="13"/>
  <c r="AN98" i="13"/>
  <c r="AO98" i="13"/>
  <c r="AP98" i="13"/>
  <c r="AP64" i="13"/>
  <c r="AO64" i="13"/>
  <c r="AN64" i="13"/>
  <c r="AM64" i="13"/>
  <c r="AL64" i="13"/>
  <c r="AK64" i="13"/>
  <c r="AK17" i="13"/>
  <c r="AL17" i="13"/>
  <c r="AM17" i="13"/>
  <c r="AN17" i="13"/>
  <c r="AO17" i="13"/>
  <c r="AP17" i="13"/>
  <c r="AK18" i="13"/>
  <c r="AL18" i="13"/>
  <c r="AM18" i="13"/>
  <c r="AN18" i="13"/>
  <c r="AO18" i="13"/>
  <c r="AP18" i="13"/>
  <c r="AK19" i="13"/>
  <c r="AL19" i="13"/>
  <c r="AM19" i="13"/>
  <c r="AN19" i="13"/>
  <c r="AO19" i="13"/>
  <c r="AP19" i="13"/>
  <c r="AK20" i="13"/>
  <c r="AL20" i="13"/>
  <c r="AM20" i="13"/>
  <c r="AN20" i="13"/>
  <c r="AO20" i="13"/>
  <c r="AP20" i="13"/>
  <c r="AK24" i="13"/>
  <c r="AL24" i="13"/>
  <c r="AM24" i="13"/>
  <c r="AN24" i="13"/>
  <c r="AO24" i="13"/>
  <c r="AP24" i="13"/>
  <c r="AK25" i="13"/>
  <c r="AL25" i="13"/>
  <c r="AM25" i="13"/>
  <c r="AN25" i="13"/>
  <c r="AO25" i="13"/>
  <c r="AP25" i="13"/>
  <c r="AK27" i="13"/>
  <c r="AL27" i="13"/>
  <c r="AM27" i="13"/>
  <c r="AN27" i="13"/>
  <c r="AO27" i="13"/>
  <c r="AP27" i="13"/>
  <c r="AK29" i="13"/>
  <c r="AL29" i="13"/>
  <c r="AM29" i="13"/>
  <c r="AN29" i="13"/>
  <c r="AO29" i="13"/>
  <c r="AP29" i="13"/>
  <c r="AK31" i="13"/>
  <c r="AL31" i="13"/>
  <c r="AM31" i="13"/>
  <c r="AN31" i="13"/>
  <c r="AO31" i="13"/>
  <c r="AP31" i="13"/>
  <c r="AK33" i="13"/>
  <c r="AL33" i="13"/>
  <c r="AM33" i="13"/>
  <c r="AN33" i="13"/>
  <c r="AO33" i="13"/>
  <c r="AP33" i="13"/>
  <c r="AK34" i="13"/>
  <c r="AL34" i="13"/>
  <c r="AM34" i="13"/>
  <c r="AN34" i="13"/>
  <c r="AO34" i="13"/>
  <c r="AP34" i="13"/>
  <c r="AK36" i="13"/>
  <c r="AL36" i="13"/>
  <c r="AM36" i="13"/>
  <c r="AN36" i="13"/>
  <c r="AO36" i="13"/>
  <c r="AP36" i="13"/>
  <c r="AK38" i="13"/>
  <c r="AL38" i="13"/>
  <c r="AM38" i="13"/>
  <c r="AN38" i="13"/>
  <c r="AO38" i="13"/>
  <c r="AP38" i="13"/>
  <c r="AK39" i="13"/>
  <c r="AL39" i="13"/>
  <c r="AM39" i="13"/>
  <c r="AN39" i="13"/>
  <c r="AO39" i="13"/>
  <c r="AP39" i="13"/>
  <c r="AK40" i="13"/>
  <c r="AL40" i="13"/>
  <c r="AM40" i="13"/>
  <c r="AN40" i="13"/>
  <c r="AO40" i="13"/>
  <c r="AP40" i="13"/>
  <c r="AK41" i="13"/>
  <c r="AL41" i="13"/>
  <c r="AM41" i="13"/>
  <c r="AN41" i="13"/>
  <c r="AO41" i="13"/>
  <c r="AP41" i="13"/>
  <c r="AK43" i="13"/>
  <c r="AL43" i="13"/>
  <c r="AM43" i="13"/>
  <c r="AN43" i="13"/>
  <c r="AO43" i="13"/>
  <c r="AP43" i="13"/>
  <c r="AK44" i="13"/>
  <c r="AL44" i="13"/>
  <c r="AM44" i="13"/>
  <c r="AN44" i="13"/>
  <c r="AO44" i="13"/>
  <c r="AP44" i="13"/>
  <c r="AK47" i="13"/>
  <c r="AL47" i="13"/>
  <c r="AM47" i="13"/>
  <c r="AN47" i="13"/>
  <c r="AO47" i="13"/>
  <c r="AP47" i="13"/>
  <c r="AK48" i="13"/>
  <c r="AL48" i="13"/>
  <c r="AM48" i="13"/>
  <c r="AN48" i="13"/>
  <c r="AO48" i="13"/>
  <c r="AP48" i="13"/>
  <c r="AK49" i="13"/>
  <c r="AL49" i="13"/>
  <c r="AM49" i="13"/>
  <c r="AN49" i="13"/>
  <c r="AO49" i="13"/>
  <c r="AP49" i="13"/>
  <c r="AK50" i="13"/>
  <c r="AL50" i="13"/>
  <c r="AM50" i="13"/>
  <c r="AN50" i="13"/>
  <c r="AO50" i="13"/>
  <c r="AP50" i="13"/>
  <c r="AK51" i="13"/>
  <c r="AL51" i="13"/>
  <c r="AM51" i="13"/>
  <c r="AN51" i="13"/>
  <c r="AO51" i="13"/>
  <c r="AP51" i="13"/>
  <c r="AK52" i="13"/>
  <c r="AL52" i="13"/>
  <c r="AM52" i="13"/>
  <c r="AN52" i="13"/>
  <c r="AO52" i="13"/>
  <c r="AP52" i="13"/>
  <c r="AK53" i="13"/>
  <c r="AL53" i="13"/>
  <c r="AM53" i="13"/>
  <c r="AN53" i="13"/>
  <c r="AO53" i="13"/>
  <c r="AP53" i="13"/>
  <c r="AK56" i="13"/>
  <c r="AL56" i="13"/>
  <c r="AM56" i="13"/>
  <c r="AN56" i="13"/>
  <c r="AO56" i="13"/>
  <c r="AP56" i="13"/>
  <c r="AK57" i="13"/>
  <c r="AL57" i="13"/>
  <c r="AM57" i="13"/>
  <c r="AN57" i="13"/>
  <c r="AO57" i="13"/>
  <c r="AP57" i="13"/>
  <c r="AK58" i="13"/>
  <c r="AL58" i="13"/>
  <c r="AM58" i="13"/>
  <c r="AN58" i="13"/>
  <c r="AO58" i="13"/>
  <c r="AP58" i="13"/>
  <c r="AK59" i="13"/>
  <c r="AL59" i="13"/>
  <c r="AM59" i="13"/>
  <c r="AN59" i="13"/>
  <c r="AO59" i="13"/>
  <c r="AP59" i="13"/>
  <c r="AK60" i="13"/>
  <c r="AL60" i="13"/>
  <c r="AM60" i="13"/>
  <c r="AN60" i="13"/>
  <c r="AO60" i="13"/>
  <c r="AP60" i="13"/>
  <c r="AK101" i="13"/>
  <c r="AL101" i="13"/>
  <c r="AM101" i="13"/>
  <c r="AN101" i="13"/>
  <c r="AO101" i="13"/>
  <c r="AP101" i="13"/>
  <c r="AK102" i="13"/>
  <c r="AL102" i="13"/>
  <c r="AM102" i="13"/>
  <c r="AN102" i="13"/>
  <c r="AO102" i="13"/>
  <c r="AP102" i="13"/>
  <c r="AK103" i="13"/>
  <c r="AL103" i="13"/>
  <c r="AM103" i="13"/>
  <c r="AN103" i="13"/>
  <c r="AO103" i="13"/>
  <c r="AP103" i="13"/>
  <c r="AP16" i="13"/>
  <c r="AO16" i="13"/>
  <c r="AM16" i="13"/>
  <c r="AL16" i="13"/>
  <c r="K68" i="29" l="1"/>
  <c r="E44" i="10"/>
  <c r="E46" i="10" s="1"/>
  <c r="K61" i="20"/>
  <c r="B110" i="15"/>
  <c r="B111" i="15"/>
  <c r="B112" i="15"/>
  <c r="B113" i="15"/>
  <c r="B114" i="15"/>
  <c r="B100" i="12"/>
  <c r="B99" i="12"/>
  <c r="B101" i="12"/>
  <c r="B98" i="12"/>
  <c r="B97" i="12"/>
  <c r="B109" i="15"/>
  <c r="B95" i="12"/>
  <c r="C25" i="24"/>
  <c r="B96" i="12"/>
  <c r="D25" i="24"/>
  <c r="E42" i="24"/>
  <c r="F42" i="24"/>
  <c r="G42" i="24"/>
  <c r="B25" i="24"/>
  <c r="B108" i="15"/>
  <c r="C108" i="15" s="1"/>
  <c r="E45" i="10" l="1"/>
  <c r="A4" i="24"/>
  <c r="O103" i="13"/>
  <c r="N103" i="13"/>
  <c r="O102" i="13"/>
  <c r="N102" i="13"/>
  <c r="O101" i="13"/>
  <c r="N101" i="13"/>
  <c r="O98" i="13"/>
  <c r="N98" i="13"/>
  <c r="O97" i="13"/>
  <c r="N97" i="13"/>
  <c r="O96" i="13"/>
  <c r="N96" i="13"/>
  <c r="O95" i="13"/>
  <c r="N95" i="13"/>
  <c r="O94" i="13"/>
  <c r="N94" i="13"/>
  <c r="O93" i="13"/>
  <c r="N93" i="13"/>
  <c r="O92" i="13"/>
  <c r="N92" i="13"/>
  <c r="O91" i="13"/>
  <c r="N91" i="13"/>
  <c r="O90" i="13"/>
  <c r="N90" i="13"/>
  <c r="O89" i="13"/>
  <c r="N89" i="13"/>
  <c r="O85" i="13"/>
  <c r="N85" i="13"/>
  <c r="O84" i="13"/>
  <c r="N84" i="13"/>
  <c r="O83" i="13"/>
  <c r="N83" i="13"/>
  <c r="O82" i="13"/>
  <c r="N82" i="13"/>
  <c r="O81" i="13"/>
  <c r="N81" i="13"/>
  <c r="O80" i="13"/>
  <c r="N80" i="13"/>
  <c r="O79" i="13"/>
  <c r="N79" i="13"/>
  <c r="O78" i="13"/>
  <c r="N78" i="13"/>
  <c r="O76" i="13"/>
  <c r="N76" i="13"/>
  <c r="O75" i="13"/>
  <c r="N75" i="13"/>
  <c r="O74" i="13"/>
  <c r="N74" i="13"/>
  <c r="O73" i="13"/>
  <c r="N73" i="13"/>
  <c r="O72" i="13"/>
  <c r="N72" i="13"/>
  <c r="O71" i="13"/>
  <c r="N71" i="13"/>
  <c r="O70" i="13"/>
  <c r="N70" i="13"/>
  <c r="O69" i="13"/>
  <c r="N69" i="13"/>
  <c r="O66" i="13"/>
  <c r="N66" i="13"/>
  <c r="O65" i="13"/>
  <c r="N65" i="13"/>
  <c r="O64" i="13"/>
  <c r="N64" i="13"/>
  <c r="O60" i="13"/>
  <c r="N60" i="13"/>
  <c r="O59" i="13"/>
  <c r="N59" i="13"/>
  <c r="O58" i="13"/>
  <c r="N58" i="13"/>
  <c r="O57" i="13"/>
  <c r="N57" i="13"/>
  <c r="O56" i="13"/>
  <c r="N56" i="13"/>
  <c r="O53" i="13"/>
  <c r="N53" i="13"/>
  <c r="O52" i="13"/>
  <c r="N52" i="13"/>
  <c r="O51" i="13"/>
  <c r="N51" i="13"/>
  <c r="O50" i="13"/>
  <c r="N50" i="13"/>
  <c r="O49" i="13"/>
  <c r="N49" i="13"/>
  <c r="O48" i="13"/>
  <c r="N48" i="13"/>
  <c r="O47" i="13"/>
  <c r="N47" i="13"/>
  <c r="O44" i="13"/>
  <c r="N44" i="13"/>
  <c r="O43" i="13"/>
  <c r="N43" i="13"/>
  <c r="O40" i="13"/>
  <c r="N40" i="13"/>
  <c r="O41" i="13"/>
  <c r="N41" i="13"/>
  <c r="O39" i="13"/>
  <c r="N39" i="13"/>
  <c r="O38" i="13"/>
  <c r="N38" i="13"/>
  <c r="O36" i="13"/>
  <c r="N36" i="13"/>
  <c r="O34" i="13"/>
  <c r="N34" i="13"/>
  <c r="O33" i="13"/>
  <c r="N33" i="13"/>
  <c r="O31" i="13"/>
  <c r="N31" i="13"/>
  <c r="O29" i="13"/>
  <c r="N29" i="13"/>
  <c r="O27" i="13"/>
  <c r="N27" i="13"/>
  <c r="O25" i="13"/>
  <c r="N25" i="13"/>
  <c r="O24" i="13"/>
  <c r="N24" i="13"/>
  <c r="N17" i="13"/>
  <c r="N18" i="13"/>
  <c r="N19" i="13"/>
  <c r="N20" i="13"/>
  <c r="O17" i="13"/>
  <c r="O18" i="13"/>
  <c r="O19" i="13"/>
  <c r="O20" i="13"/>
  <c r="O16" i="13"/>
  <c r="N16" i="13"/>
  <c r="E17" i="27" l="1"/>
  <c r="G20" i="25"/>
  <c r="G19" i="25"/>
  <c r="G18" i="25"/>
  <c r="D119" i="15" s="1"/>
  <c r="C5" i="16" l="1"/>
  <c r="C27" i="16" l="1"/>
  <c r="F5" i="16" l="1"/>
  <c r="E5" i="16"/>
  <c r="F10" i="16"/>
  <c r="E10" i="16"/>
  <c r="F8" i="16"/>
  <c r="E8" i="16"/>
  <c r="F7" i="16"/>
  <c r="E7" i="16"/>
  <c r="G11" i="29"/>
  <c r="C106" i="9"/>
  <c r="I10" i="29" l="1"/>
  <c r="G10" i="29"/>
  <c r="B17" i="15"/>
  <c r="B18" i="15"/>
  <c r="B19" i="15"/>
  <c r="B20" i="15"/>
  <c r="B21" i="15"/>
  <c r="B25" i="15"/>
  <c r="B26" i="15"/>
  <c r="B27" i="15"/>
  <c r="B28" i="15"/>
  <c r="B29" i="15"/>
  <c r="B33" i="15"/>
  <c r="B34" i="15"/>
  <c r="B36" i="15"/>
  <c r="B38" i="15"/>
  <c r="B40" i="15"/>
  <c r="B42" i="15"/>
  <c r="B43" i="15"/>
  <c r="B45" i="15"/>
  <c r="B47" i="15"/>
  <c r="B48" i="15"/>
  <c r="B49" i="15"/>
  <c r="B50" i="15"/>
  <c r="D6" i="3"/>
  <c r="B6" i="12" s="1"/>
  <c r="U62" i="29"/>
  <c r="U61" i="29"/>
  <c r="U60" i="29"/>
  <c r="U59" i="29"/>
  <c r="U57" i="29"/>
  <c r="U56" i="29"/>
  <c r="I12" i="29"/>
  <c r="I11" i="29"/>
  <c r="C31" i="27"/>
  <c r="E29" i="27"/>
  <c r="E30" i="27"/>
  <c r="E31" i="27"/>
  <c r="C34" i="27"/>
  <c r="C32" i="27"/>
  <c r="C30" i="27"/>
  <c r="C29" i="27"/>
  <c r="J29" i="27"/>
  <c r="J30" i="27"/>
  <c r="J31" i="27"/>
  <c r="J20" i="27"/>
  <c r="W32" i="29" l="1"/>
  <c r="W33" i="29"/>
  <c r="W34" i="29"/>
  <c r="E34" i="24"/>
  <c r="C19" i="15"/>
  <c r="B17" i="24"/>
  <c r="C6" i="12"/>
  <c r="J18" i="27" l="1"/>
  <c r="C20" i="27"/>
  <c r="E20" i="27" s="1"/>
  <c r="C19" i="27"/>
  <c r="E19" i="27" s="1"/>
  <c r="C18" i="27"/>
  <c r="E18" i="27" s="1"/>
  <c r="C21" i="27"/>
  <c r="W21" i="29" l="1"/>
  <c r="W23" i="29"/>
  <c r="C107" i="13"/>
  <c r="F107" i="13" s="1"/>
  <c r="J21" i="21" s="1"/>
  <c r="N8" i="21" s="1"/>
  <c r="C106" i="13"/>
  <c r="F106" i="13" s="1"/>
  <c r="J20" i="21" s="1"/>
  <c r="N6" i="21" s="1"/>
  <c r="C104" i="9"/>
  <c r="N4" i="26" l="1"/>
  <c r="F15" i="26" s="1"/>
  <c r="C7" i="27"/>
  <c r="C33" i="27" s="1"/>
  <c r="I4" i="26"/>
  <c r="I3" i="26"/>
  <c r="N15" i="25"/>
  <c r="G15" i="25" s="1"/>
  <c r="N14" i="25"/>
  <c r="G14" i="25" s="1"/>
  <c r="S7" i="25"/>
  <c r="C108" i="13"/>
  <c r="F108" i="13" s="1"/>
  <c r="J22" i="21" s="1"/>
  <c r="C105" i="9"/>
  <c r="F105" i="9" s="1"/>
  <c r="H21" i="21" s="1"/>
  <c r="L8" i="21" s="1"/>
  <c r="E65" i="27"/>
  <c r="U52" i="29" s="1"/>
  <c r="C64" i="27"/>
  <c r="E64" i="27" s="1"/>
  <c r="U51" i="29" s="1"/>
  <c r="E63" i="27"/>
  <c r="U50" i="29" s="1"/>
  <c r="E62" i="27"/>
  <c r="U49" i="29" s="1"/>
  <c r="E61" i="27"/>
  <c r="E60" i="27"/>
  <c r="U47" i="29" s="1"/>
  <c r="E59" i="27"/>
  <c r="U46" i="29" s="1"/>
  <c r="E58" i="27"/>
  <c r="U45" i="29" s="1"/>
  <c r="E34" i="27"/>
  <c r="J32" i="27"/>
  <c r="E32" i="27"/>
  <c r="J28" i="27"/>
  <c r="E28" i="27"/>
  <c r="J21" i="27"/>
  <c r="E21" i="27"/>
  <c r="J19" i="27"/>
  <c r="W22" i="29" s="1"/>
  <c r="J17" i="27"/>
  <c r="W20" i="29" s="1"/>
  <c r="B11" i="27"/>
  <c r="U41" i="20"/>
  <c r="U37" i="20"/>
  <c r="B3" i="3"/>
  <c r="D3" i="3" s="1"/>
  <c r="C34" i="32" s="1"/>
  <c r="E34" i="32" s="1"/>
  <c r="D19" i="3"/>
  <c r="B16" i="12" s="1"/>
  <c r="C16" i="12" s="1"/>
  <c r="B97" i="15"/>
  <c r="C97" i="15" s="1"/>
  <c r="B98" i="15"/>
  <c r="C98" i="15" s="1"/>
  <c r="B99" i="15"/>
  <c r="C99" i="15" s="1"/>
  <c r="B100" i="15"/>
  <c r="C100" i="15" s="1"/>
  <c r="B101" i="15"/>
  <c r="C101" i="15" s="1"/>
  <c r="B102" i="15"/>
  <c r="C102" i="15" s="1"/>
  <c r="B103" i="15"/>
  <c r="C103" i="15" s="1"/>
  <c r="B104" i="15"/>
  <c r="C104" i="15" s="1"/>
  <c r="B105" i="15"/>
  <c r="C105" i="15" s="1"/>
  <c r="B96" i="15"/>
  <c r="C96" i="15" s="1"/>
  <c r="A97" i="15"/>
  <c r="A98" i="15"/>
  <c r="A99" i="15"/>
  <c r="A100" i="15"/>
  <c r="A101" i="15"/>
  <c r="A102" i="15"/>
  <c r="A103" i="15"/>
  <c r="A104" i="15"/>
  <c r="A105" i="15"/>
  <c r="A96" i="15"/>
  <c r="B92" i="12"/>
  <c r="C92" i="12" s="1"/>
  <c r="B85" i="12"/>
  <c r="C85" i="12" s="1"/>
  <c r="B86" i="12"/>
  <c r="C86" i="12" s="1"/>
  <c r="B87" i="12"/>
  <c r="C87" i="12" s="1"/>
  <c r="B88" i="12"/>
  <c r="C88" i="12" s="1"/>
  <c r="B89" i="12"/>
  <c r="C89" i="12" s="1"/>
  <c r="B90" i="12"/>
  <c r="C90" i="12" s="1"/>
  <c r="B91" i="12"/>
  <c r="C91" i="12" s="1"/>
  <c r="B84" i="12"/>
  <c r="C84" i="12" s="1"/>
  <c r="B83" i="12"/>
  <c r="C83" i="12" s="1"/>
  <c r="A84" i="12"/>
  <c r="A85" i="12"/>
  <c r="A86" i="12"/>
  <c r="A87" i="12"/>
  <c r="A88" i="12"/>
  <c r="A89" i="12"/>
  <c r="A90" i="12"/>
  <c r="A91" i="12"/>
  <c r="A92" i="12"/>
  <c r="A83" i="12"/>
  <c r="D23" i="3"/>
  <c r="B101" i="9"/>
  <c r="D63" i="3"/>
  <c r="B54" i="9"/>
  <c r="D64" i="3"/>
  <c r="B55" i="9" s="1"/>
  <c r="D65" i="3"/>
  <c r="B56" i="9" s="1"/>
  <c r="D66" i="3"/>
  <c r="B57" i="9" s="1"/>
  <c r="D67" i="3"/>
  <c r="B58" i="9" s="1"/>
  <c r="D28" i="3"/>
  <c r="B47" i="13" s="1"/>
  <c r="D29" i="3"/>
  <c r="B48" i="13" s="1"/>
  <c r="D30" i="3"/>
  <c r="B47" i="9" s="1"/>
  <c r="D31" i="3"/>
  <c r="B48" i="9" s="1"/>
  <c r="D32" i="3"/>
  <c r="B49" i="9" s="1"/>
  <c r="D33" i="3"/>
  <c r="B50" i="9" s="1"/>
  <c r="D34" i="3"/>
  <c r="B51" i="9" s="1"/>
  <c r="D50" i="3"/>
  <c r="B43" i="13" s="1"/>
  <c r="D51" i="3"/>
  <c r="B42" i="9" s="1"/>
  <c r="D57" i="3"/>
  <c r="B34" i="12" s="1"/>
  <c r="D58" i="3"/>
  <c r="B35" i="12" s="1"/>
  <c r="C35" i="12" s="1"/>
  <c r="D59" i="3"/>
  <c r="B36" i="12" s="1"/>
  <c r="C36" i="12" s="1"/>
  <c r="D60" i="3"/>
  <c r="B37" i="12" s="1"/>
  <c r="C37" i="12" s="1"/>
  <c r="D54" i="3"/>
  <c r="B32" i="12" s="1"/>
  <c r="C32" i="12" s="1"/>
  <c r="D47" i="3"/>
  <c r="B29" i="12" s="1"/>
  <c r="C29" i="12" s="1"/>
  <c r="D48" i="3"/>
  <c r="B30" i="12" s="1"/>
  <c r="C30" i="12" s="1"/>
  <c r="D45" i="3"/>
  <c r="B27" i="12" s="1"/>
  <c r="C27" i="12" s="1"/>
  <c r="D15" i="3"/>
  <c r="B12" i="12" s="1"/>
  <c r="D16" i="3"/>
  <c r="B13" i="12" s="1"/>
  <c r="C13" i="12" s="1"/>
  <c r="D17" i="3"/>
  <c r="B14" i="12" s="1"/>
  <c r="C14" i="12" s="1"/>
  <c r="D18" i="3"/>
  <c r="B15" i="12" s="1"/>
  <c r="C15" i="12" s="1"/>
  <c r="D38" i="3"/>
  <c r="B20" i="12" s="1"/>
  <c r="C20" i="12" s="1"/>
  <c r="D39" i="3"/>
  <c r="B21" i="12" s="1"/>
  <c r="C21" i="12" s="1"/>
  <c r="D41" i="3"/>
  <c r="B23" i="12" s="1"/>
  <c r="C23" i="12" s="1"/>
  <c r="D43" i="3"/>
  <c r="B25" i="12" s="1"/>
  <c r="C25" i="12" s="1"/>
  <c r="D24" i="3"/>
  <c r="D25" i="3"/>
  <c r="B89" i="3"/>
  <c r="D89" i="3" s="1"/>
  <c r="B80" i="12" s="1"/>
  <c r="D88" i="3"/>
  <c r="D87" i="3"/>
  <c r="B78" i="12" s="1"/>
  <c r="D86" i="3"/>
  <c r="D85" i="3"/>
  <c r="B76" i="12" s="1"/>
  <c r="D84" i="3"/>
  <c r="D83" i="3"/>
  <c r="D82" i="3"/>
  <c r="D80" i="3"/>
  <c r="B74" i="9" s="1"/>
  <c r="D79" i="3"/>
  <c r="B75" i="13" s="1"/>
  <c r="D78" i="3"/>
  <c r="B72" i="9" s="1"/>
  <c r="D77" i="3"/>
  <c r="B71" i="9" s="1"/>
  <c r="D76" i="3"/>
  <c r="B70" i="9" s="1"/>
  <c r="D75" i="3"/>
  <c r="D11" i="3"/>
  <c r="D12" i="3"/>
  <c r="D72" i="3"/>
  <c r="B66" i="13" s="1"/>
  <c r="D71" i="3"/>
  <c r="B65" i="13" s="1"/>
  <c r="D70" i="3"/>
  <c r="B64" i="13" s="1"/>
  <c r="F106" i="9"/>
  <c r="H22" i="21" s="1"/>
  <c r="B25" i="4"/>
  <c r="B24" i="4"/>
  <c r="B36" i="4"/>
  <c r="F36" i="4" s="1"/>
  <c r="B38" i="4" s="1"/>
  <c r="C34" i="15"/>
  <c r="D16" i="23"/>
  <c r="F16" i="23"/>
  <c r="D15" i="23"/>
  <c r="F15" i="23"/>
  <c r="F104" i="9"/>
  <c r="V20" i="9"/>
  <c r="G3" i="3"/>
  <c r="D10" i="4"/>
  <c r="C29" i="15"/>
  <c r="A16" i="15"/>
  <c r="C7" i="13"/>
  <c r="A10" i="17"/>
  <c r="A3" i="12"/>
  <c r="C5" i="9"/>
  <c r="A43" i="24"/>
  <c r="A42" i="24"/>
  <c r="A41" i="24"/>
  <c r="A40" i="24"/>
  <c r="A39" i="24"/>
  <c r="A38" i="24"/>
  <c r="A37" i="24"/>
  <c r="A32" i="24"/>
  <c r="A33" i="24"/>
  <c r="A35" i="24"/>
  <c r="A36" i="24"/>
  <c r="A20" i="24"/>
  <c r="A21" i="24"/>
  <c r="A22" i="24"/>
  <c r="A23" i="24"/>
  <c r="A24" i="24"/>
  <c r="A25" i="24"/>
  <c r="A15" i="24"/>
  <c r="A16" i="24"/>
  <c r="A18" i="24"/>
  <c r="A19" i="24"/>
  <c r="R37" i="1"/>
  <c r="Q37" i="1"/>
  <c r="P37" i="1"/>
  <c r="O37" i="1"/>
  <c r="N37" i="1"/>
  <c r="M37" i="1"/>
  <c r="L37" i="1"/>
  <c r="B37" i="1"/>
  <c r="I37" i="1" s="1"/>
  <c r="J37" i="1" s="1"/>
  <c r="B64" i="17" s="1"/>
  <c r="C37" i="1"/>
  <c r="D37" i="1"/>
  <c r="E37" i="1"/>
  <c r="F37" i="1"/>
  <c r="G37" i="1"/>
  <c r="H37" i="1"/>
  <c r="F263" i="2"/>
  <c r="F264" i="2"/>
  <c r="F265" i="2"/>
  <c r="F266" i="2"/>
  <c r="F267" i="2"/>
  <c r="F268" i="2"/>
  <c r="F269" i="2"/>
  <c r="F270" i="2"/>
  <c r="F271" i="2"/>
  <c r="F272" i="2"/>
  <c r="F273" i="2"/>
  <c r="F274" i="2"/>
  <c r="F275" i="2"/>
  <c r="F276" i="2"/>
  <c r="F277" i="2"/>
  <c r="F278" i="2"/>
  <c r="F279" i="2"/>
  <c r="F280" i="2"/>
  <c r="F281" i="2"/>
  <c r="F282" i="2"/>
  <c r="F262" i="2"/>
  <c r="D57" i="1"/>
  <c r="K26" i="1"/>
  <c r="D56" i="1"/>
  <c r="D55" i="1"/>
  <c r="D54" i="1"/>
  <c r="D53" i="1"/>
  <c r="D52" i="1"/>
  <c r="D51" i="1"/>
  <c r="E46" i="17"/>
  <c r="D46" i="17"/>
  <c r="L26" i="1"/>
  <c r="N26" i="1"/>
  <c r="O26" i="1"/>
  <c r="M26" i="1"/>
  <c r="P26" i="1"/>
  <c r="J26" i="1"/>
  <c r="C46" i="17"/>
  <c r="B46" i="17"/>
  <c r="P46" i="17" s="1"/>
  <c r="I46" i="17"/>
  <c r="H46" i="17"/>
  <c r="K46" i="17"/>
  <c r="J46" i="17"/>
  <c r="G46" i="17"/>
  <c r="F46" i="17"/>
  <c r="O46" i="17"/>
  <c r="N46" i="17"/>
  <c r="L46" i="17"/>
  <c r="M46" i="17"/>
  <c r="F27" i="4"/>
  <c r="S37" i="1"/>
  <c r="T37" i="1"/>
  <c r="F15" i="6"/>
  <c r="E15" i="6"/>
  <c r="D12" i="4"/>
  <c r="E10" i="4"/>
  <c r="F32" i="24"/>
  <c r="G3" i="10"/>
  <c r="G4" i="10"/>
  <c r="G5" i="10"/>
  <c r="G6" i="10"/>
  <c r="G7" i="10"/>
  <c r="V7" i="21" s="1"/>
  <c r="D9" i="16" s="1"/>
  <c r="G8" i="10"/>
  <c r="G9" i="10"/>
  <c r="G10" i="10"/>
  <c r="G11" i="10"/>
  <c r="G12" i="10"/>
  <c r="G13" i="10"/>
  <c r="G16" i="10"/>
  <c r="A11" i="21" s="1"/>
  <c r="G17" i="10"/>
  <c r="G18" i="10"/>
  <c r="G19" i="10"/>
  <c r="G20" i="10"/>
  <c r="A15" i="21" s="1"/>
  <c r="G21" i="10"/>
  <c r="G22" i="10"/>
  <c r="A17" i="21" s="1"/>
  <c r="G23" i="10"/>
  <c r="G24" i="10"/>
  <c r="A18" i="21" s="1"/>
  <c r="G25" i="10"/>
  <c r="G26" i="10"/>
  <c r="G27" i="10"/>
  <c r="G28" i="10"/>
  <c r="G29" i="10"/>
  <c r="G30" i="10"/>
  <c r="G31" i="10"/>
  <c r="G32" i="10"/>
  <c r="G33" i="10"/>
  <c r="G34" i="10"/>
  <c r="G35" i="10"/>
  <c r="G36" i="10"/>
  <c r="G37" i="10"/>
  <c r="G38" i="10"/>
  <c r="G39" i="10"/>
  <c r="G40" i="10"/>
  <c r="A12" i="24"/>
  <c r="A11" i="24"/>
  <c r="A5" i="24"/>
  <c r="D42" i="1"/>
  <c r="D43" i="1"/>
  <c r="D44" i="1"/>
  <c r="D46" i="1"/>
  <c r="D47" i="1"/>
  <c r="D48" i="1"/>
  <c r="D41" i="1"/>
  <c r="B45" i="1"/>
  <c r="D45" i="1"/>
  <c r="C64" i="17"/>
  <c r="D8" i="17"/>
  <c r="C8" i="17"/>
  <c r="B6" i="1"/>
  <c r="C6" i="1"/>
  <c r="P4" i="1"/>
  <c r="D17" i="17"/>
  <c r="K11" i="1"/>
  <c r="P12" i="1"/>
  <c r="E12" i="1"/>
  <c r="P11" i="1"/>
  <c r="E11" i="1"/>
  <c r="E17" i="17"/>
  <c r="P5" i="1"/>
  <c r="D24" i="17"/>
  <c r="K12" i="1"/>
  <c r="K5" i="1"/>
  <c r="K4" i="1"/>
  <c r="E5" i="1"/>
  <c r="E4" i="1"/>
  <c r="M11" i="1"/>
  <c r="O11" i="1"/>
  <c r="N12" i="1"/>
  <c r="N4" i="1"/>
  <c r="N6" i="1"/>
  <c r="N5" i="1"/>
  <c r="M6" i="1"/>
  <c r="N13" i="1"/>
  <c r="M13" i="1"/>
  <c r="M4" i="1"/>
  <c r="O4" i="1"/>
  <c r="M5" i="1"/>
  <c r="O5" i="1"/>
  <c r="D23" i="17"/>
  <c r="D25" i="17" s="1"/>
  <c r="N11" i="1"/>
  <c r="M12" i="1"/>
  <c r="O12" i="1"/>
  <c r="G23" i="17"/>
  <c r="G25" i="17" s="1"/>
  <c r="P7" i="1"/>
  <c r="K14" i="1"/>
  <c r="L35" i="17" s="1"/>
  <c r="P13" i="1"/>
  <c r="G30" i="17" s="1"/>
  <c r="P6" i="1"/>
  <c r="D30" i="17"/>
  <c r="E7" i="1"/>
  <c r="B35" i="17" s="1"/>
  <c r="G36" i="17" s="1"/>
  <c r="C6" i="17" s="1"/>
  <c r="K13" i="1"/>
  <c r="E6" i="1"/>
  <c r="G24" i="17"/>
  <c r="K6" i="1"/>
  <c r="C30" i="17" s="1"/>
  <c r="G17" i="17"/>
  <c r="K24" i="17"/>
  <c r="D16" i="17"/>
  <c r="D6" i="1"/>
  <c r="I30" i="17" s="1"/>
  <c r="Q14" i="1"/>
  <c r="Q7" i="1"/>
  <c r="L7" i="1"/>
  <c r="F7" i="1"/>
  <c r="L14" i="1"/>
  <c r="K7" i="1"/>
  <c r="C35" i="17" s="1"/>
  <c r="O13" i="1"/>
  <c r="J13" i="1"/>
  <c r="G54" i="17" s="1"/>
  <c r="J6" i="1"/>
  <c r="G16" i="17"/>
  <c r="E24" i="17"/>
  <c r="P14" i="1"/>
  <c r="O6" i="1"/>
  <c r="A7" i="21"/>
  <c r="C13" i="1"/>
  <c r="C25" i="1"/>
  <c r="M36" i="1"/>
  <c r="D25" i="1"/>
  <c r="N36" i="1"/>
  <c r="E25" i="1"/>
  <c r="O36" i="1"/>
  <c r="F25" i="1"/>
  <c r="P36" i="1"/>
  <c r="G25" i="1"/>
  <c r="Q36" i="1"/>
  <c r="H25" i="1"/>
  <c r="R36" i="1"/>
  <c r="B25" i="1"/>
  <c r="L36" i="1"/>
  <c r="C24" i="1"/>
  <c r="M35" i="1"/>
  <c r="D24" i="1"/>
  <c r="N35" i="1"/>
  <c r="E24" i="1"/>
  <c r="O35" i="1"/>
  <c r="F24" i="1"/>
  <c r="P35" i="1"/>
  <c r="G24" i="1"/>
  <c r="Q35" i="1"/>
  <c r="H24" i="1"/>
  <c r="R35" i="1"/>
  <c r="B24" i="1"/>
  <c r="L35" i="1"/>
  <c r="C23" i="1"/>
  <c r="M34" i="1"/>
  <c r="D23" i="1"/>
  <c r="N34" i="1"/>
  <c r="E23" i="1"/>
  <c r="O34" i="1"/>
  <c r="F23" i="1"/>
  <c r="P34" i="1"/>
  <c r="G23" i="1"/>
  <c r="Q34" i="1"/>
  <c r="H23" i="1"/>
  <c r="R34" i="1"/>
  <c r="B23" i="1"/>
  <c r="L34" i="1"/>
  <c r="C22" i="1"/>
  <c r="M33" i="1"/>
  <c r="D22" i="1"/>
  <c r="N33" i="1"/>
  <c r="E22" i="1"/>
  <c r="O33" i="1"/>
  <c r="F22" i="1"/>
  <c r="P33" i="1"/>
  <c r="G22" i="1"/>
  <c r="Q33" i="1"/>
  <c r="H22" i="1"/>
  <c r="R33" i="1"/>
  <c r="B22" i="1"/>
  <c r="L33" i="1"/>
  <c r="D21" i="1"/>
  <c r="N32" i="1"/>
  <c r="E21" i="1"/>
  <c r="O32" i="1"/>
  <c r="F21" i="1"/>
  <c r="P32" i="1"/>
  <c r="G21" i="1"/>
  <c r="Q32" i="1"/>
  <c r="H21" i="1"/>
  <c r="R32" i="1"/>
  <c r="C21" i="1"/>
  <c r="M32" i="1"/>
  <c r="B21" i="1"/>
  <c r="H20" i="1"/>
  <c r="R31" i="1"/>
  <c r="G20" i="1"/>
  <c r="Q31" i="1"/>
  <c r="F20" i="1"/>
  <c r="P31" i="1"/>
  <c r="E20" i="1"/>
  <c r="O31" i="1"/>
  <c r="D20" i="1"/>
  <c r="N31" i="1"/>
  <c r="C20" i="1"/>
  <c r="M31" i="1"/>
  <c r="B20" i="1"/>
  <c r="H6" i="1"/>
  <c r="F14" i="1"/>
  <c r="E14" i="1"/>
  <c r="D13" i="1"/>
  <c r="K17" i="17"/>
  <c r="K18" i="17" s="1"/>
  <c r="B54" i="17"/>
  <c r="I54" i="17"/>
  <c r="G35" i="17"/>
  <c r="E54" i="17"/>
  <c r="K54" i="17"/>
  <c r="D35" i="17"/>
  <c r="B32" i="1"/>
  <c r="L32" i="1"/>
  <c r="L31" i="1"/>
  <c r="B31" i="1"/>
  <c r="H34" i="1"/>
  <c r="P23" i="1"/>
  <c r="J21" i="1"/>
  <c r="B41" i="17"/>
  <c r="H33" i="1"/>
  <c r="P22" i="1"/>
  <c r="G34" i="1"/>
  <c r="O23" i="1"/>
  <c r="F35" i="1"/>
  <c r="N24" i="1"/>
  <c r="E36" i="1"/>
  <c r="M25" i="1"/>
  <c r="I45" i="17"/>
  <c r="G33" i="1"/>
  <c r="O22" i="1"/>
  <c r="F34" i="1"/>
  <c r="N23" i="1"/>
  <c r="E35" i="1"/>
  <c r="M24" i="1"/>
  <c r="D36" i="1"/>
  <c r="L25" i="1"/>
  <c r="F45" i="17"/>
  <c r="G35" i="1"/>
  <c r="O24" i="1"/>
  <c r="H32" i="1"/>
  <c r="P21" i="1"/>
  <c r="N41" i="17"/>
  <c r="F33" i="1"/>
  <c r="N22" i="1"/>
  <c r="E34" i="1"/>
  <c r="M23" i="1"/>
  <c r="I43" i="17"/>
  <c r="D35" i="1"/>
  <c r="L24" i="1"/>
  <c r="K25" i="1"/>
  <c r="B33" i="1"/>
  <c r="J22" i="1"/>
  <c r="C42" i="17"/>
  <c r="C31" i="1"/>
  <c r="K20" i="1"/>
  <c r="D31" i="1"/>
  <c r="L20" i="1"/>
  <c r="G32" i="1"/>
  <c r="O21" i="1"/>
  <c r="E33" i="1"/>
  <c r="M22" i="1"/>
  <c r="H42" i="17"/>
  <c r="D34" i="1"/>
  <c r="L23" i="1"/>
  <c r="C35" i="1"/>
  <c r="K24" i="1"/>
  <c r="H31" i="1"/>
  <c r="P20" i="1"/>
  <c r="J20" i="1"/>
  <c r="B40" i="17"/>
  <c r="E31" i="1"/>
  <c r="M20" i="1"/>
  <c r="F32" i="1"/>
  <c r="N21" i="1"/>
  <c r="J41" i="17"/>
  <c r="D33" i="1"/>
  <c r="L22" i="1"/>
  <c r="C34" i="1"/>
  <c r="K23" i="1"/>
  <c r="B36" i="1"/>
  <c r="J25" i="1"/>
  <c r="B45" i="17"/>
  <c r="F36" i="1"/>
  <c r="N25" i="1"/>
  <c r="J45" i="17"/>
  <c r="C32" i="1"/>
  <c r="K21" i="1"/>
  <c r="F31" i="1"/>
  <c r="N20" i="1"/>
  <c r="E32" i="1"/>
  <c r="M21" i="1"/>
  <c r="C33" i="1"/>
  <c r="K22" i="1"/>
  <c r="B35" i="1"/>
  <c r="J24" i="1"/>
  <c r="B44" i="17"/>
  <c r="H36" i="1"/>
  <c r="P25" i="1"/>
  <c r="N45" i="17"/>
  <c r="G31" i="1"/>
  <c r="O20" i="1"/>
  <c r="M40" i="17"/>
  <c r="D32" i="1"/>
  <c r="L21" i="1"/>
  <c r="B34" i="1"/>
  <c r="J23" i="1"/>
  <c r="B43" i="17"/>
  <c r="H35" i="1"/>
  <c r="P24" i="1"/>
  <c r="N44" i="17"/>
  <c r="G36" i="1"/>
  <c r="O25" i="1"/>
  <c r="L24" i="17"/>
  <c r="F24" i="17"/>
  <c r="E30" i="17"/>
  <c r="K30" i="17"/>
  <c r="B24" i="17"/>
  <c r="I24" i="17"/>
  <c r="E35" i="17"/>
  <c r="K35" i="17"/>
  <c r="J24" i="17"/>
  <c r="C24" i="17"/>
  <c r="J17" i="17"/>
  <c r="C17" i="17"/>
  <c r="B30" i="17"/>
  <c r="G31" i="17" s="1"/>
  <c r="C5" i="17" s="1"/>
  <c r="L17" i="17"/>
  <c r="F17" i="17"/>
  <c r="F35" i="17"/>
  <c r="I17" i="17"/>
  <c r="B17" i="17"/>
  <c r="J35" i="17"/>
  <c r="O42" i="17"/>
  <c r="F44" i="17"/>
  <c r="G44" i="17"/>
  <c r="M44" i="17"/>
  <c r="G43" i="17"/>
  <c r="F43" i="17"/>
  <c r="G45" i="17"/>
  <c r="L42" i="17"/>
  <c r="H43" i="17"/>
  <c r="H45" i="17"/>
  <c r="C41" i="17"/>
  <c r="C40" i="17"/>
  <c r="C45" i="17"/>
  <c r="G40" i="17"/>
  <c r="F40" i="17"/>
  <c r="J44" i="17"/>
  <c r="M45" i="17"/>
  <c r="H44" i="17"/>
  <c r="N43" i="17"/>
  <c r="B42" i="17"/>
  <c r="H41" i="17"/>
  <c r="H40" i="17"/>
  <c r="I44" i="17"/>
  <c r="I41" i="17"/>
  <c r="O43" i="17"/>
  <c r="L40" i="17"/>
  <c r="G42" i="17"/>
  <c r="K43" i="17"/>
  <c r="O40" i="17"/>
  <c r="G41" i="17"/>
  <c r="N40" i="17"/>
  <c r="C43" i="17"/>
  <c r="N42" i="17"/>
  <c r="F41" i="17"/>
  <c r="S34" i="1"/>
  <c r="M41" i="17"/>
  <c r="K45" i="17"/>
  <c r="S36" i="1"/>
  <c r="M42" i="17"/>
  <c r="M43" i="17"/>
  <c r="L44" i="17"/>
  <c r="K44" i="17"/>
  <c r="I40" i="17"/>
  <c r="K41" i="17"/>
  <c r="L43" i="17"/>
  <c r="O44" i="17"/>
  <c r="O45" i="17"/>
  <c r="J40" i="17"/>
  <c r="I42" i="17"/>
  <c r="K42" i="17"/>
  <c r="S35" i="1"/>
  <c r="L45" i="17"/>
  <c r="O41" i="17"/>
  <c r="J43" i="17"/>
  <c r="L41" i="17"/>
  <c r="E42" i="17"/>
  <c r="D42" i="17"/>
  <c r="E44" i="17"/>
  <c r="D44" i="17"/>
  <c r="C44" i="17"/>
  <c r="J42" i="17"/>
  <c r="K40" i="17"/>
  <c r="F42" i="17"/>
  <c r="E41" i="17"/>
  <c r="D41" i="17"/>
  <c r="E45" i="17"/>
  <c r="D45" i="17"/>
  <c r="E40" i="17"/>
  <c r="D40" i="17"/>
  <c r="D43" i="17"/>
  <c r="E43" i="17"/>
  <c r="T34" i="1"/>
  <c r="C61" i="17"/>
  <c r="T35" i="1"/>
  <c r="C62" i="17"/>
  <c r="T36" i="1"/>
  <c r="C63" i="17"/>
  <c r="O47" i="17"/>
  <c r="S32" i="1"/>
  <c r="S31" i="1"/>
  <c r="S33" i="1"/>
  <c r="T33" i="1"/>
  <c r="C60" i="17"/>
  <c r="T31" i="1"/>
  <c r="C58" i="17"/>
  <c r="T32" i="1"/>
  <c r="C59" i="17"/>
  <c r="C12" i="1"/>
  <c r="B12" i="1"/>
  <c r="D12" i="1"/>
  <c r="C5" i="1"/>
  <c r="B5" i="1"/>
  <c r="D5" i="1"/>
  <c r="B13" i="1"/>
  <c r="I13" i="1"/>
  <c r="I6" i="1"/>
  <c r="H13" i="1"/>
  <c r="I5" i="1"/>
  <c r="I12" i="1"/>
  <c r="I4" i="1"/>
  <c r="H4" i="1"/>
  <c r="J4" i="1"/>
  <c r="H12" i="1"/>
  <c r="J12" i="1"/>
  <c r="H5" i="1"/>
  <c r="J5" i="1"/>
  <c r="C4" i="1"/>
  <c r="C11" i="1"/>
  <c r="B11" i="1"/>
  <c r="D11" i="1"/>
  <c r="B4" i="1"/>
  <c r="D4" i="1"/>
  <c r="I11" i="1"/>
  <c r="H11" i="1"/>
  <c r="J11" i="1"/>
  <c r="K53" i="17"/>
  <c r="E53" i="17"/>
  <c r="K52" i="17"/>
  <c r="E52" i="17"/>
  <c r="J53" i="17"/>
  <c r="D53" i="17"/>
  <c r="C53" i="17"/>
  <c r="B52" i="17"/>
  <c r="I52" i="17"/>
  <c r="G52" i="17"/>
  <c r="F16" i="17"/>
  <c r="L16" i="17"/>
  <c r="L18" i="17"/>
  <c r="D54" i="17"/>
  <c r="C54" i="17"/>
  <c r="J54" i="17"/>
  <c r="G53" i="17"/>
  <c r="F23" i="17"/>
  <c r="F25" i="17" s="1"/>
  <c r="L23" i="17"/>
  <c r="L25" i="17" s="1"/>
  <c r="L54" i="17"/>
  <c r="F54" i="17"/>
  <c r="J16" i="17"/>
  <c r="J18" i="17"/>
  <c r="C16" i="17"/>
  <c r="I16" i="17"/>
  <c r="I18" i="17"/>
  <c r="B16" i="17"/>
  <c r="C52" i="17"/>
  <c r="J52" i="17"/>
  <c r="D52" i="17"/>
  <c r="B23" i="17"/>
  <c r="B25" i="17" s="1"/>
  <c r="G26" i="17" s="1"/>
  <c r="C4" i="17" s="1"/>
  <c r="I23" i="17"/>
  <c r="I25" i="17" s="1"/>
  <c r="C23" i="17"/>
  <c r="C25" i="17" s="1"/>
  <c r="J23" i="17"/>
  <c r="J25" i="17"/>
  <c r="L52" i="17"/>
  <c r="F52" i="17"/>
  <c r="L53" i="17"/>
  <c r="F53" i="17"/>
  <c r="I53" i="17"/>
  <c r="B53" i="17"/>
  <c r="C65" i="17"/>
  <c r="E23" i="17"/>
  <c r="E25" i="17" s="1"/>
  <c r="K23" i="17"/>
  <c r="K25" i="17"/>
  <c r="K16" i="17"/>
  <c r="E16" i="17"/>
  <c r="F31" i="4"/>
  <c r="M54" i="17"/>
  <c r="B68" i="9"/>
  <c r="B70" i="13"/>
  <c r="K55" i="17"/>
  <c r="M53" i="17"/>
  <c r="L55" i="17"/>
  <c r="M52" i="17"/>
  <c r="J55" i="17"/>
  <c r="I55" i="17"/>
  <c r="M55" i="17"/>
  <c r="D9" i="17"/>
  <c r="D8" i="3"/>
  <c r="B8" i="12" s="1"/>
  <c r="D19" i="24" s="1"/>
  <c r="D7" i="3"/>
  <c r="B7" i="12" s="1"/>
  <c r="C7" i="12" s="1"/>
  <c r="D5" i="3"/>
  <c r="B5" i="12" s="1"/>
  <c r="D4" i="3"/>
  <c r="B29" i="13"/>
  <c r="B59" i="13"/>
  <c r="B67" i="9"/>
  <c r="B69" i="13"/>
  <c r="C34" i="12"/>
  <c r="B38" i="13"/>
  <c r="B56" i="13"/>
  <c r="B81" i="13"/>
  <c r="B79" i="9"/>
  <c r="B33" i="13"/>
  <c r="B39" i="13"/>
  <c r="B57" i="13"/>
  <c r="B71" i="13"/>
  <c r="B69" i="9"/>
  <c r="V18" i="9"/>
  <c r="V19" i="9"/>
  <c r="V22" i="9"/>
  <c r="V23" i="9"/>
  <c r="V24" i="9"/>
  <c r="V17" i="9"/>
  <c r="C50" i="15"/>
  <c r="C49" i="15"/>
  <c r="C48" i="15"/>
  <c r="C47" i="15"/>
  <c r="C45" i="15"/>
  <c r="C43" i="15"/>
  <c r="C42" i="15"/>
  <c r="C40" i="15"/>
  <c r="C38" i="15"/>
  <c r="C36" i="15"/>
  <c r="C28" i="15"/>
  <c r="C27" i="15"/>
  <c r="C26" i="15"/>
  <c r="C21" i="15"/>
  <c r="C20" i="15"/>
  <c r="E33" i="24"/>
  <c r="F37" i="4"/>
  <c r="F32" i="4"/>
  <c r="B18" i="4"/>
  <c r="F24" i="4"/>
  <c r="F25" i="4"/>
  <c r="B26" i="4"/>
  <c r="F18" i="4"/>
  <c r="B20" i="4" s="1"/>
  <c r="F20" i="4" s="1"/>
  <c r="F14" i="6"/>
  <c r="F13" i="6"/>
  <c r="F12" i="6"/>
  <c r="F11" i="6"/>
  <c r="F10" i="6"/>
  <c r="F9" i="6"/>
  <c r="F8" i="6"/>
  <c r="F5" i="6"/>
  <c r="F26" i="4"/>
  <c r="U39" i="20" l="1"/>
  <c r="U48" i="29"/>
  <c r="W31" i="29"/>
  <c r="W36" i="29"/>
  <c r="W35" i="29"/>
  <c r="B53" i="13"/>
  <c r="B73" i="13"/>
  <c r="B83" i="13"/>
  <c r="B60" i="13"/>
  <c r="B52" i="13"/>
  <c r="B76" i="9"/>
  <c r="B73" i="12"/>
  <c r="C73" i="12" s="1"/>
  <c r="B77" i="9"/>
  <c r="B74" i="12"/>
  <c r="C74" i="12" s="1"/>
  <c r="B78" i="9"/>
  <c r="B75" i="12"/>
  <c r="C75" i="12" s="1"/>
  <c r="B80" i="9"/>
  <c r="B77" i="12"/>
  <c r="C77" i="12" s="1"/>
  <c r="B82" i="9"/>
  <c r="B79" i="12"/>
  <c r="C79" i="12" s="1"/>
  <c r="B81" i="9"/>
  <c r="B24" i="13"/>
  <c r="C12" i="12"/>
  <c r="K4" i="12"/>
  <c r="G18" i="17"/>
  <c r="M14" i="21"/>
  <c r="O14" i="21"/>
  <c r="N14" i="21"/>
  <c r="L14" i="21"/>
  <c r="O13" i="21"/>
  <c r="M10" i="24" s="1"/>
  <c r="L13" i="21"/>
  <c r="N13" i="21"/>
  <c r="G10" i="24" s="1"/>
  <c r="M13" i="21"/>
  <c r="J10" i="24" s="1"/>
  <c r="O12" i="21"/>
  <c r="K9" i="24" s="1"/>
  <c r="N12" i="21"/>
  <c r="E9" i="24" s="1"/>
  <c r="M12" i="21"/>
  <c r="H9" i="24" s="1"/>
  <c r="L12" i="21"/>
  <c r="M11" i="21"/>
  <c r="H8" i="24" s="1"/>
  <c r="H46" i="24" s="1"/>
  <c r="L11" i="21"/>
  <c r="O11" i="21"/>
  <c r="K8" i="24" s="1"/>
  <c r="K46" i="24" s="1"/>
  <c r="N11" i="21"/>
  <c r="E8" i="24" s="1"/>
  <c r="A8" i="21"/>
  <c r="A12" i="21"/>
  <c r="N7" i="21"/>
  <c r="O7" i="21"/>
  <c r="W8" i="21" s="1"/>
  <c r="F11" i="16" s="1"/>
  <c r="L7" i="21"/>
  <c r="M7" i="21"/>
  <c r="L18" i="21"/>
  <c r="N18" i="21"/>
  <c r="O18" i="21"/>
  <c r="M18" i="21"/>
  <c r="M16" i="21"/>
  <c r="O16" i="21"/>
  <c r="N16" i="21"/>
  <c r="L16" i="21"/>
  <c r="A6" i="21"/>
  <c r="W7" i="21"/>
  <c r="U7" i="21"/>
  <c r="E9" i="16" s="1"/>
  <c r="M15" i="21"/>
  <c r="L15" i="21"/>
  <c r="O15" i="21"/>
  <c r="N15" i="21"/>
  <c r="H20" i="21"/>
  <c r="L6" i="21" s="1"/>
  <c r="B79" i="13"/>
  <c r="W24" i="29"/>
  <c r="W25" i="29"/>
  <c r="P17" i="21"/>
  <c r="G4" i="24"/>
  <c r="B49" i="13"/>
  <c r="B58" i="13"/>
  <c r="B20" i="13"/>
  <c r="B76" i="13"/>
  <c r="B64" i="9"/>
  <c r="B18" i="13"/>
  <c r="B39" i="9"/>
  <c r="B41" i="13"/>
  <c r="B51" i="13"/>
  <c r="B31" i="13"/>
  <c r="B45" i="9"/>
  <c r="B82" i="13"/>
  <c r="B17" i="13"/>
  <c r="B50" i="13"/>
  <c r="B16" i="13"/>
  <c r="B62" i="9"/>
  <c r="B14" i="9"/>
  <c r="B31" i="9"/>
  <c r="B46" i="9"/>
  <c r="B23" i="9"/>
  <c r="B25" i="13"/>
  <c r="B84" i="13"/>
  <c r="B63" i="9"/>
  <c r="B36" i="13"/>
  <c r="B22" i="9"/>
  <c r="B36" i="9"/>
  <c r="B78" i="13"/>
  <c r="B80" i="13"/>
  <c r="B40" i="13"/>
  <c r="B27" i="9"/>
  <c r="B34" i="9"/>
  <c r="B19" i="13"/>
  <c r="B38" i="9"/>
  <c r="B32" i="9"/>
  <c r="B41" i="9"/>
  <c r="B34" i="13"/>
  <c r="B73" i="9"/>
  <c r="B44" i="13"/>
  <c r="B27" i="13"/>
  <c r="B74" i="13"/>
  <c r="B17" i="9"/>
  <c r="B16" i="9"/>
  <c r="B15" i="9"/>
  <c r="B37" i="9"/>
  <c r="B72" i="13"/>
  <c r="B29" i="9"/>
  <c r="B93" i="15"/>
  <c r="C93" i="15" s="1"/>
  <c r="C80" i="12"/>
  <c r="B83" i="9"/>
  <c r="B85" i="13"/>
  <c r="J3" i="26"/>
  <c r="F3" i="26" s="1"/>
  <c r="D11" i="27"/>
  <c r="D10" i="17"/>
  <c r="C10" i="17"/>
  <c r="B74" i="15"/>
  <c r="C74" i="15" s="1"/>
  <c r="B61" i="12"/>
  <c r="C61" i="12" s="1"/>
  <c r="B71" i="12"/>
  <c r="C71" i="12" s="1"/>
  <c r="B84" i="15"/>
  <c r="C84" i="15" s="1"/>
  <c r="B47" i="12"/>
  <c r="C47" i="12" s="1"/>
  <c r="B60" i="15"/>
  <c r="C60" i="15" s="1"/>
  <c r="B53" i="12"/>
  <c r="C53" i="12" s="1"/>
  <c r="B66" i="15"/>
  <c r="C66" i="15" s="1"/>
  <c r="B77" i="15"/>
  <c r="C77" i="15" s="1"/>
  <c r="B64" i="12"/>
  <c r="C64" i="12" s="1"/>
  <c r="B86" i="15"/>
  <c r="C86" i="15" s="1"/>
  <c r="B46" i="12"/>
  <c r="C46" i="12" s="1"/>
  <c r="B59" i="15"/>
  <c r="C59" i="15" s="1"/>
  <c r="B52" i="12"/>
  <c r="B65" i="15"/>
  <c r="C65" i="15" s="1"/>
  <c r="J4" i="26"/>
  <c r="F4" i="26" s="1"/>
  <c r="B62" i="26" s="1"/>
  <c r="G15" i="10"/>
  <c r="B4" i="12"/>
  <c r="C4" i="12" s="1"/>
  <c r="B16" i="24"/>
  <c r="B65" i="12"/>
  <c r="C65" i="12" s="1"/>
  <c r="B78" i="15"/>
  <c r="C78" i="15" s="1"/>
  <c r="B87" i="15"/>
  <c r="C87" i="15" s="1"/>
  <c r="B45" i="12"/>
  <c r="C45" i="12" s="1"/>
  <c r="B58" i="15"/>
  <c r="C58" i="15" s="1"/>
  <c r="C109" i="15"/>
  <c r="C96" i="12"/>
  <c r="C100" i="12"/>
  <c r="C99" i="12"/>
  <c r="C113" i="15"/>
  <c r="C112" i="15"/>
  <c r="C111" i="15"/>
  <c r="C97" i="12"/>
  <c r="C110" i="15"/>
  <c r="C98" i="12"/>
  <c r="B79" i="15"/>
  <c r="C79" i="15" s="1"/>
  <c r="B66" i="12"/>
  <c r="C66" i="12" s="1"/>
  <c r="B88" i="15"/>
  <c r="C88" i="15" s="1"/>
  <c r="B44" i="12"/>
  <c r="C44" i="12" s="1"/>
  <c r="B57" i="15"/>
  <c r="C57" i="15" s="1"/>
  <c r="B67" i="12"/>
  <c r="C67" i="12" s="1"/>
  <c r="B80" i="15"/>
  <c r="C80" i="15" s="1"/>
  <c r="C76" i="12"/>
  <c r="B89" i="15"/>
  <c r="C89" i="15" s="1"/>
  <c r="B25" i="9"/>
  <c r="B53" i="15"/>
  <c r="C53" i="15" s="1"/>
  <c r="B40" i="12"/>
  <c r="C40" i="12" s="1"/>
  <c r="B56" i="15"/>
  <c r="C56" i="15" s="1"/>
  <c r="B43" i="12"/>
  <c r="C43" i="12" s="1"/>
  <c r="B68" i="12"/>
  <c r="C68" i="12" s="1"/>
  <c r="B81" i="15"/>
  <c r="C81" i="15" s="1"/>
  <c r="B90" i="15"/>
  <c r="C90" i="15" s="1"/>
  <c r="B52" i="15"/>
  <c r="C52" i="15" s="1"/>
  <c r="B39" i="12"/>
  <c r="C39" i="12" s="1"/>
  <c r="B56" i="12"/>
  <c r="C56" i="12" s="1"/>
  <c r="B69" i="15"/>
  <c r="C69" i="15" s="1"/>
  <c r="B72" i="15"/>
  <c r="C72" i="15" s="1"/>
  <c r="B59" i="12"/>
  <c r="C59" i="12" s="1"/>
  <c r="B69" i="12"/>
  <c r="C69" i="12" s="1"/>
  <c r="B82" i="15"/>
  <c r="C82" i="15" s="1"/>
  <c r="B91" i="15"/>
  <c r="C91" i="15" s="1"/>
  <c r="C78" i="12"/>
  <c r="B62" i="15"/>
  <c r="C62" i="15" s="1"/>
  <c r="B49" i="12"/>
  <c r="C49" i="12" s="1"/>
  <c r="B55" i="12"/>
  <c r="C55" i="12" s="1"/>
  <c r="B68" i="15"/>
  <c r="C68" i="15" s="1"/>
  <c r="B73" i="15"/>
  <c r="C73" i="15" s="1"/>
  <c r="B60" i="12"/>
  <c r="C60" i="12" s="1"/>
  <c r="B70" i="12"/>
  <c r="C70" i="12" s="1"/>
  <c r="B83" i="15"/>
  <c r="C83" i="15" s="1"/>
  <c r="B92" i="15"/>
  <c r="C92" i="15" s="1"/>
  <c r="B18" i="9"/>
  <c r="B48" i="12"/>
  <c r="C48" i="12" s="1"/>
  <c r="B61" i="15"/>
  <c r="C61" i="15" s="1"/>
  <c r="B54" i="12"/>
  <c r="C54" i="12" s="1"/>
  <c r="B67" i="15"/>
  <c r="C67" i="15" s="1"/>
  <c r="D63" i="26"/>
  <c r="D28" i="16"/>
  <c r="B28" i="16" s="1"/>
  <c r="N7" i="25"/>
  <c r="B120" i="15"/>
  <c r="D120" i="15" s="1"/>
  <c r="G26" i="25" s="1"/>
  <c r="A31" i="24"/>
  <c r="B16" i="15"/>
  <c r="G25" i="25"/>
  <c r="B18" i="17"/>
  <c r="I36" i="1"/>
  <c r="J36" i="1" s="1"/>
  <c r="B63" i="17" s="1"/>
  <c r="C17" i="15"/>
  <c r="C33" i="15"/>
  <c r="B3" i="12"/>
  <c r="C25" i="15"/>
  <c r="B5" i="15"/>
  <c r="D48" i="16" s="1"/>
  <c r="D8" i="16" s="1"/>
  <c r="H34" i="27"/>
  <c r="J34" i="27" s="1"/>
  <c r="W40" i="29" s="1"/>
  <c r="A14" i="24"/>
  <c r="L19" i="17"/>
  <c r="D3" i="17" s="1"/>
  <c r="C68" i="6"/>
  <c r="B67" i="6"/>
  <c r="B69" i="6"/>
  <c r="B28" i="6"/>
  <c r="C69" i="6"/>
  <c r="C66" i="6"/>
  <c r="B66" i="6"/>
  <c r="C67" i="6"/>
  <c r="L26" i="17"/>
  <c r="D4" i="17" s="1"/>
  <c r="F18" i="17"/>
  <c r="I35" i="17"/>
  <c r="L36" i="17" s="1"/>
  <c r="D6" i="17" s="1"/>
  <c r="J30" i="17"/>
  <c r="L31" i="17" s="1"/>
  <c r="D5" i="17" s="1"/>
  <c r="F30" i="17"/>
  <c r="B19" i="4"/>
  <c r="F19" i="4" s="1"/>
  <c r="L30" i="17"/>
  <c r="B8" i="17"/>
  <c r="U40" i="20"/>
  <c r="U42" i="20"/>
  <c r="U36" i="20"/>
  <c r="U43" i="20"/>
  <c r="U38" i="20"/>
  <c r="C22" i="27"/>
  <c r="E22" i="27" s="1"/>
  <c r="E18" i="17"/>
  <c r="D55" i="17"/>
  <c r="I33" i="1"/>
  <c r="J33" i="1" s="1"/>
  <c r="B60" i="17" s="1"/>
  <c r="H22" i="27"/>
  <c r="J22" i="27" s="1"/>
  <c r="J33" i="27"/>
  <c r="E33" i="27"/>
  <c r="W38" i="29" s="1"/>
  <c r="C18" i="17"/>
  <c r="D18" i="17"/>
  <c r="Q44" i="17"/>
  <c r="I34" i="1"/>
  <c r="J34" i="1" s="1"/>
  <c r="B61" i="17" s="1"/>
  <c r="I31" i="1"/>
  <c r="J31" i="1" s="1"/>
  <c r="B58" i="17" s="1"/>
  <c r="R41" i="17"/>
  <c r="J47" i="17"/>
  <c r="B55" i="17"/>
  <c r="G55" i="17"/>
  <c r="H52" i="17"/>
  <c r="R44" i="17"/>
  <c r="I47" i="17"/>
  <c r="F55" i="17"/>
  <c r="N47" i="17"/>
  <c r="Q40" i="17"/>
  <c r="H53" i="17"/>
  <c r="B5" i="17"/>
  <c r="Q43" i="17"/>
  <c r="K47" i="17"/>
  <c r="P43" i="17"/>
  <c r="Q46" i="17"/>
  <c r="E47" i="17"/>
  <c r="P44" i="17"/>
  <c r="H47" i="17"/>
  <c r="H54" i="17"/>
  <c r="R45" i="17"/>
  <c r="G47" i="17"/>
  <c r="I32" i="1"/>
  <c r="J32" i="1" s="1"/>
  <c r="B59" i="17" s="1"/>
  <c r="Q45" i="17"/>
  <c r="P41" i="17"/>
  <c r="R42" i="17"/>
  <c r="P40" i="17"/>
  <c r="I35" i="1"/>
  <c r="J35" i="1" s="1"/>
  <c r="B62" i="17" s="1"/>
  <c r="F47" i="17"/>
  <c r="L47" i="17"/>
  <c r="M47" i="17"/>
  <c r="R46" i="17"/>
  <c r="B4" i="17"/>
  <c r="B6" i="17"/>
  <c r="C55" i="17"/>
  <c r="C47" i="17"/>
  <c r="B47" i="17"/>
  <c r="Q42" i="17"/>
  <c r="P45" i="17"/>
  <c r="P42" i="17"/>
  <c r="E55" i="17"/>
  <c r="D47" i="17"/>
  <c r="Q41" i="17"/>
  <c r="R43" i="17"/>
  <c r="R40" i="17"/>
  <c r="A14" i="21"/>
  <c r="A13" i="21"/>
  <c r="A16" i="21"/>
  <c r="C18" i="15"/>
  <c r="E35" i="24"/>
  <c r="G36" i="24"/>
  <c r="B18" i="24"/>
  <c r="C5" i="12"/>
  <c r="C8" i="12"/>
  <c r="G7" i="25" l="1"/>
  <c r="C118" i="15" s="1"/>
  <c r="D118" i="15" s="1"/>
  <c r="G24" i="25" s="1"/>
  <c r="O10" i="21"/>
  <c r="N10" i="21"/>
  <c r="M10" i="21"/>
  <c r="L10" i="21"/>
  <c r="V9" i="21"/>
  <c r="U8" i="21"/>
  <c r="E11" i="16" s="1"/>
  <c r="W27" i="29"/>
  <c r="W15" i="29"/>
  <c r="B60" i="16" s="1"/>
  <c r="P16" i="21"/>
  <c r="Q16" i="21" s="1"/>
  <c r="F20" i="16"/>
  <c r="B10" i="17"/>
  <c r="V8" i="21"/>
  <c r="D11" i="16" s="1"/>
  <c r="A9" i="21"/>
  <c r="B8" i="24"/>
  <c r="B46" i="24" s="1"/>
  <c r="P11" i="21"/>
  <c r="Q11" i="21" s="1"/>
  <c r="B9" i="24"/>
  <c r="P12" i="21"/>
  <c r="Q12" i="21" s="1"/>
  <c r="J4" i="24"/>
  <c r="P15" i="21"/>
  <c r="Q15" i="21" s="1"/>
  <c r="F9" i="16"/>
  <c r="M4" i="24"/>
  <c r="D10" i="24"/>
  <c r="P13" i="21"/>
  <c r="Q13" i="21" s="1"/>
  <c r="U10" i="21"/>
  <c r="E12" i="16" s="1"/>
  <c r="T11" i="21"/>
  <c r="C13" i="16" s="1"/>
  <c r="P14" i="21"/>
  <c r="V10" i="21"/>
  <c r="D12" i="16" s="1"/>
  <c r="V11" i="21"/>
  <c r="D13" i="16" s="1"/>
  <c r="P18" i="21"/>
  <c r="Q18" i="21" s="1"/>
  <c r="W10" i="21"/>
  <c r="F12" i="16" s="1"/>
  <c r="W11" i="21"/>
  <c r="F13" i="16" s="1"/>
  <c r="P7" i="21"/>
  <c r="Q7" i="21" s="1"/>
  <c r="T10" i="21"/>
  <c r="U11" i="21"/>
  <c r="E13" i="16" s="1"/>
  <c r="T7" i="21"/>
  <c r="P6" i="21"/>
  <c r="X7" i="21" s="1"/>
  <c r="T8" i="21"/>
  <c r="C11" i="16" s="1"/>
  <c r="P8" i="21"/>
  <c r="K3" i="12"/>
  <c r="W17" i="9" s="1"/>
  <c r="C15" i="24"/>
  <c r="A10" i="21"/>
  <c r="F9" i="26"/>
  <c r="E27" i="16" s="1"/>
  <c r="F8" i="26"/>
  <c r="E26" i="16" s="1"/>
  <c r="K8" i="12"/>
  <c r="C52" i="16" s="1"/>
  <c r="B7" i="15"/>
  <c r="D50" i="16" s="1"/>
  <c r="K5" i="12"/>
  <c r="D21" i="24" s="1"/>
  <c r="C53" i="16"/>
  <c r="C10" i="16" s="1"/>
  <c r="K9" i="12"/>
  <c r="C95" i="12"/>
  <c r="C54" i="16"/>
  <c r="C101" i="12"/>
  <c r="F20" i="26"/>
  <c r="F14" i="26"/>
  <c r="B8" i="15"/>
  <c r="D51" i="16" s="1"/>
  <c r="K7" i="12"/>
  <c r="C52" i="12"/>
  <c r="D54" i="16"/>
  <c r="C114" i="15"/>
  <c r="B9" i="15"/>
  <c r="D52" i="16" s="1"/>
  <c r="F13" i="26"/>
  <c r="D26" i="16" s="1"/>
  <c r="F19" i="26"/>
  <c r="K6" i="12"/>
  <c r="D53" i="16"/>
  <c r="B10" i="15"/>
  <c r="B6" i="15"/>
  <c r="G38" i="24" s="1"/>
  <c r="B61" i="26"/>
  <c r="F5" i="26"/>
  <c r="C26" i="16" s="1"/>
  <c r="C29" i="16" s="1"/>
  <c r="B121" i="15"/>
  <c r="C14" i="24"/>
  <c r="F31" i="24"/>
  <c r="B4" i="15"/>
  <c r="D47" i="16" s="1"/>
  <c r="C16" i="15"/>
  <c r="C3" i="12"/>
  <c r="B65" i="17"/>
  <c r="G19" i="17"/>
  <c r="C3" i="17" s="1"/>
  <c r="C11" i="17" s="1"/>
  <c r="H55" i="17"/>
  <c r="R47" i="17"/>
  <c r="D7" i="17" s="1"/>
  <c r="P47" i="17"/>
  <c r="Q47" i="17"/>
  <c r="C7" i="17" s="1"/>
  <c r="Q17" i="21"/>
  <c r="G37" i="24"/>
  <c r="W18" i="9"/>
  <c r="D20" i="24"/>
  <c r="C48" i="16"/>
  <c r="C8" i="16" s="1"/>
  <c r="B12" i="16" l="1"/>
  <c r="F6" i="24"/>
  <c r="V12" i="21"/>
  <c r="B59" i="16"/>
  <c r="C20" i="16"/>
  <c r="Q6" i="21"/>
  <c r="X11" i="21"/>
  <c r="Q14" i="21"/>
  <c r="E42" i="16"/>
  <c r="X10" i="21"/>
  <c r="U9" i="21"/>
  <c r="U12" i="21" s="1"/>
  <c r="W9" i="21"/>
  <c r="W12" i="21" s="1"/>
  <c r="C6" i="24"/>
  <c r="C46" i="24" s="1"/>
  <c r="T9" i="21"/>
  <c r="T12" i="21" s="1"/>
  <c r="C9" i="16"/>
  <c r="Q8" i="21"/>
  <c r="X8" i="21"/>
  <c r="I6" i="24"/>
  <c r="L7" i="24"/>
  <c r="L6" i="24"/>
  <c r="L46" i="24" s="1"/>
  <c r="C7" i="24"/>
  <c r="F7" i="24"/>
  <c r="I7" i="24"/>
  <c r="D42" i="16"/>
  <c r="F42" i="16"/>
  <c r="J5" i="24"/>
  <c r="D39" i="16"/>
  <c r="D4" i="24"/>
  <c r="P9" i="21"/>
  <c r="F10" i="26"/>
  <c r="C62" i="26"/>
  <c r="B52" i="16"/>
  <c r="G41" i="24"/>
  <c r="W22" i="9"/>
  <c r="D24" i="24"/>
  <c r="C61" i="26"/>
  <c r="G39" i="24"/>
  <c r="K10" i="12"/>
  <c r="W24" i="9" s="1"/>
  <c r="C49" i="16"/>
  <c r="W19" i="9"/>
  <c r="W21" i="9"/>
  <c r="C51" i="16"/>
  <c r="B51" i="16" s="1"/>
  <c r="D23" i="24"/>
  <c r="G40" i="24"/>
  <c r="P10" i="21"/>
  <c r="Q10" i="21" s="1"/>
  <c r="D49" i="16"/>
  <c r="B54" i="16"/>
  <c r="D22" i="24"/>
  <c r="W20" i="9"/>
  <c r="C50" i="16" s="1"/>
  <c r="B50" i="16" s="1"/>
  <c r="W23" i="9"/>
  <c r="C42" i="16"/>
  <c r="C121" i="15"/>
  <c r="B8" i="16"/>
  <c r="E29" i="16"/>
  <c r="F27" i="16"/>
  <c r="E62" i="26"/>
  <c r="F26" i="16"/>
  <c r="B26" i="16" s="1"/>
  <c r="E61" i="26"/>
  <c r="D62" i="26"/>
  <c r="D27" i="16"/>
  <c r="D29" i="16" s="1"/>
  <c r="D41" i="16"/>
  <c r="F39" i="16"/>
  <c r="J12" i="24"/>
  <c r="F21" i="26"/>
  <c r="F16" i="26"/>
  <c r="D61" i="26"/>
  <c r="B53" i="16"/>
  <c r="D10" i="16"/>
  <c r="B48" i="16"/>
  <c r="C9" i="17"/>
  <c r="B9" i="17" s="1"/>
  <c r="C39" i="16"/>
  <c r="C47" i="16"/>
  <c r="B3" i="17"/>
  <c r="B11" i="17" s="1"/>
  <c r="E20" i="16"/>
  <c r="D11" i="17"/>
  <c r="B7" i="17"/>
  <c r="M11" i="24"/>
  <c r="E41" i="16"/>
  <c r="C41" i="16"/>
  <c r="I46" i="24" l="1"/>
  <c r="F46" i="24"/>
  <c r="D21" i="16" s="1"/>
  <c r="B9" i="16"/>
  <c r="C7" i="16"/>
  <c r="E21" i="16"/>
  <c r="F21" i="16"/>
  <c r="Q9" i="21"/>
  <c r="X9" i="21"/>
  <c r="X12" i="21" s="1"/>
  <c r="D40" i="16"/>
  <c r="D6" i="16" s="1"/>
  <c r="D43" i="16"/>
  <c r="C21" i="16"/>
  <c r="B47" i="16"/>
  <c r="D12" i="24"/>
  <c r="G11" i="24"/>
  <c r="E43" i="16"/>
  <c r="C43" i="16"/>
  <c r="F40" i="16"/>
  <c r="F6" i="16" s="1"/>
  <c r="F14" i="16" s="1"/>
  <c r="F16" i="16" s="1"/>
  <c r="C56" i="16"/>
  <c r="B49" i="16"/>
  <c r="D7" i="16"/>
  <c r="B10" i="16"/>
  <c r="G27" i="25"/>
  <c r="D121" i="15"/>
  <c r="B11" i="15" s="1"/>
  <c r="F29" i="16"/>
  <c r="B29" i="16" s="1"/>
  <c r="B13" i="16"/>
  <c r="B27" i="16"/>
  <c r="M5" i="24"/>
  <c r="M46" i="24" s="1"/>
  <c r="G5" i="24"/>
  <c r="G46" i="24" s="1"/>
  <c r="B42" i="16"/>
  <c r="G12" i="24"/>
  <c r="D5" i="24"/>
  <c r="D46" i="24" s="1"/>
  <c r="M12" i="24"/>
  <c r="B39" i="16"/>
  <c r="E38" i="16"/>
  <c r="E39" i="16"/>
  <c r="D38" i="16"/>
  <c r="F41" i="16"/>
  <c r="J11" i="24"/>
  <c r="J46" i="24" s="1"/>
  <c r="F38" i="16"/>
  <c r="B38" i="16"/>
  <c r="C38" i="16"/>
  <c r="D11" i="24"/>
  <c r="B51" i="24" l="1"/>
  <c r="B50" i="24"/>
  <c r="B21" i="16" s="1"/>
  <c r="B11" i="16"/>
  <c r="C22" i="16"/>
  <c r="C23" i="16" s="1"/>
  <c r="D22" i="16"/>
  <c r="F22" i="16"/>
  <c r="F23" i="16" s="1"/>
  <c r="E40" i="16"/>
  <c r="C40" i="16"/>
  <c r="B40" i="16"/>
  <c r="F43" i="16"/>
  <c r="B7" i="16"/>
  <c r="E22" i="16"/>
  <c r="E23" i="16" s="1"/>
  <c r="D55" i="16"/>
  <c r="D36" i="16" s="1"/>
  <c r="E43" i="24"/>
  <c r="E46" i="24" s="1"/>
  <c r="B49" i="24" s="1"/>
  <c r="B12" i="15"/>
  <c r="F36" i="16"/>
  <c r="B41" i="16"/>
  <c r="V11" i="24"/>
  <c r="B52" i="24" l="1"/>
  <c r="E36" i="16"/>
  <c r="E6" i="16"/>
  <c r="C36" i="16"/>
  <c r="C6" i="16"/>
  <c r="C14" i="16" s="1"/>
  <c r="C16" i="16" s="1"/>
  <c r="B20" i="16"/>
  <c r="B43" i="16"/>
  <c r="D5" i="16"/>
  <c r="D14" i="16" s="1"/>
  <c r="D16" i="16" s="1"/>
  <c r="D56" i="16"/>
  <c r="B56" i="16" s="1"/>
  <c r="B55" i="16"/>
  <c r="B36" i="16" s="1"/>
  <c r="B22" i="16"/>
  <c r="E14" i="16" l="1"/>
  <c r="E16" i="16" s="1"/>
  <c r="B16" i="16" s="1"/>
  <c r="B6" i="16"/>
  <c r="D20" i="16"/>
  <c r="D23" i="16" s="1"/>
  <c r="B23" i="16" s="1"/>
  <c r="B5" i="16"/>
  <c r="B14"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Forfatter</author>
  </authors>
  <commentList>
    <comment ref="A35" authorId="0" shapeId="0" xr:uid="{BE8468A5-5761-4532-AB00-973EF6818E3F}">
      <text>
        <r>
          <rPr>
            <b/>
            <sz val="9"/>
            <color indexed="81"/>
            <rFont val="Tahoma"/>
            <family val="2"/>
          </rPr>
          <t>Gjennomsnitt fra biogass fra avfall og avløpsslam.</t>
        </r>
      </text>
    </comment>
    <comment ref="A36" authorId="0" shapeId="0" xr:uid="{5C051122-0519-4B5C-A76D-38184792E894}">
      <text>
        <r>
          <rPr>
            <b/>
            <sz val="9"/>
            <color indexed="81"/>
            <rFont val="Tahoma"/>
            <family val="2"/>
          </rPr>
          <t>50% HVO frityrolje, 50% HVO rapsolje</t>
        </r>
      </text>
    </comment>
  </commentList>
</comments>
</file>

<file path=xl/sharedStrings.xml><?xml version="1.0" encoding="utf-8"?>
<sst xmlns="http://schemas.openxmlformats.org/spreadsheetml/2006/main" count="3891" uniqueCount="1033">
  <si>
    <t>Utbygging</t>
  </si>
  <si>
    <t>Materiale</t>
  </si>
  <si>
    <t>Dimensjon (mm)</t>
  </si>
  <si>
    <t>PE</t>
  </si>
  <si>
    <t>DV</t>
  </si>
  <si>
    <t>Betong</t>
  </si>
  <si>
    <t>GRP</t>
  </si>
  <si>
    <t>PP</t>
  </si>
  <si>
    <t>PVC</t>
  </si>
  <si>
    <t>Støpejern</t>
  </si>
  <si>
    <t>Vekt (kg/m)</t>
  </si>
  <si>
    <t>SDR</t>
  </si>
  <si>
    <t xml:space="preserve"> </t>
  </si>
  <si>
    <t>Utblokking</t>
  </si>
  <si>
    <t>Strømperenovering</t>
  </si>
  <si>
    <t>Filtermasser</t>
  </si>
  <si>
    <t>Filtralite</t>
  </si>
  <si>
    <t>Antrasitt</t>
  </si>
  <si>
    <t>Kvarts</t>
  </si>
  <si>
    <t>Marmor</t>
  </si>
  <si>
    <t>kg CO₂ ekv./tonn</t>
  </si>
  <si>
    <t>Flytende oksygen til ozonproduksjon</t>
  </si>
  <si>
    <t>CO₂ til vannbehandling</t>
  </si>
  <si>
    <t>Natriumthiosulfat</t>
  </si>
  <si>
    <t>Transport med lastebil</t>
  </si>
  <si>
    <t>km</t>
  </si>
  <si>
    <t>Transport</t>
  </si>
  <si>
    <t xml:space="preserve">Direkteutslipp </t>
  </si>
  <si>
    <t>Metan</t>
  </si>
  <si>
    <t>Lystgass</t>
  </si>
  <si>
    <t>kg CO₂ ekv./kg</t>
  </si>
  <si>
    <t>Diesel forbrent i anleggsmaskin</t>
  </si>
  <si>
    <t>Diesel forbrent i aggregat</t>
  </si>
  <si>
    <t>kg CO₂ ekv./MJ</t>
  </si>
  <si>
    <t>kg CO₂/kg materiale</t>
  </si>
  <si>
    <t>Utspregning av grunn</t>
  </si>
  <si>
    <t xml:space="preserve">kg CO₂ ekv./m³ </t>
  </si>
  <si>
    <r>
      <t>FeSO</t>
    </r>
    <r>
      <rPr>
        <u/>
        <vertAlign val="subscript"/>
        <sz val="11"/>
        <color theme="1"/>
        <rFont val="Calibri"/>
        <family val="2"/>
        <scheme val="minor"/>
      </rPr>
      <t>4</t>
    </r>
  </si>
  <si>
    <t>PIX-118, PIX 318</t>
  </si>
  <si>
    <r>
      <t>FeClSO</t>
    </r>
    <r>
      <rPr>
        <u/>
        <vertAlign val="subscript"/>
        <sz val="11"/>
        <color theme="1"/>
        <rFont val="Calibri"/>
        <family val="2"/>
        <scheme val="minor"/>
      </rPr>
      <t>4</t>
    </r>
  </si>
  <si>
    <r>
      <t>Fe</t>
    </r>
    <r>
      <rPr>
        <u/>
        <vertAlign val="subscript"/>
        <sz val="11"/>
        <color theme="1"/>
        <rFont val="Calibri"/>
        <family val="2"/>
        <scheme val="minor"/>
      </rPr>
      <t>2</t>
    </r>
    <r>
      <rPr>
        <u/>
        <sz val="11"/>
        <color theme="1"/>
        <rFont val="Calibri"/>
        <family val="2"/>
        <scheme val="minor"/>
      </rPr>
      <t>(SO</t>
    </r>
    <r>
      <rPr>
        <u/>
        <vertAlign val="subscript"/>
        <sz val="11"/>
        <color theme="1"/>
        <rFont val="Calibri"/>
        <family val="2"/>
        <scheme val="minor"/>
      </rPr>
      <t>4</t>
    </r>
    <r>
      <rPr>
        <u/>
        <sz val="11"/>
        <color theme="1"/>
        <rFont val="Calibri"/>
        <family val="2"/>
        <scheme val="minor"/>
      </rPr>
      <t>)</t>
    </r>
    <r>
      <rPr>
        <u/>
        <vertAlign val="subscript"/>
        <sz val="11"/>
        <color theme="1"/>
        <rFont val="Calibri"/>
        <family val="2"/>
        <scheme val="minor"/>
      </rPr>
      <t>3</t>
    </r>
  </si>
  <si>
    <t>PIX-113</t>
  </si>
  <si>
    <r>
      <t>FeCl</t>
    </r>
    <r>
      <rPr>
        <u/>
        <vertAlign val="subscript"/>
        <sz val="11"/>
        <color theme="1"/>
        <rFont val="Calibri"/>
        <family val="2"/>
        <scheme val="minor"/>
      </rPr>
      <t>3</t>
    </r>
    <r>
      <rPr>
        <u/>
        <sz val="11"/>
        <color theme="1"/>
        <rFont val="Calibri"/>
        <family val="2"/>
        <scheme val="minor"/>
      </rPr>
      <t xml:space="preserve"> </t>
    </r>
  </si>
  <si>
    <t>PIX-110</t>
  </si>
  <si>
    <t>AlFeCl</t>
  </si>
  <si>
    <t>Ekomix 1091</t>
  </si>
  <si>
    <t>PAC</t>
  </si>
  <si>
    <t>PAX-18, Ekoflock 89</t>
  </si>
  <si>
    <t>PAX-15, XL61</t>
  </si>
  <si>
    <t>PAX-LX100</t>
  </si>
  <si>
    <t>PAX-215</t>
  </si>
  <si>
    <t xml:space="preserve">Ecoinvent v3: Chemical, inorganic </t>
  </si>
  <si>
    <t>Direkteutslipp (IPCC 2006)</t>
  </si>
  <si>
    <t>Gasoline/Petrol</t>
  </si>
  <si>
    <t>Gas/Diesel Oil</t>
  </si>
  <si>
    <t>Natural Gas</t>
  </si>
  <si>
    <t>Fuel density (kg/l)</t>
  </si>
  <si>
    <t>EF CO₂ (kg/l)</t>
  </si>
  <si>
    <t>EF CH4 (kg/TJ)</t>
  </si>
  <si>
    <t>EF N2O (kg/TJ)</t>
  </si>
  <si>
    <t>NCV (TJ/Gg)</t>
  </si>
  <si>
    <t xml:space="preserve">kg/m³ </t>
  </si>
  <si>
    <t>Methane from treatment process</t>
  </si>
  <si>
    <t>Wastewater treatment, including onsite treatment</t>
  </si>
  <si>
    <t xml:space="preserve">Methane emissions from anaerobic digestion </t>
  </si>
  <si>
    <t>Wastewater treatment emission factor</t>
  </si>
  <si>
    <t>kg CH4/kgBOD5</t>
  </si>
  <si>
    <t>0.6*MCF</t>
  </si>
  <si>
    <t>MCF</t>
  </si>
  <si>
    <t xml:space="preserve">Treated system </t>
  </si>
  <si>
    <t xml:space="preserve">Centralized, aerobic treatment plant </t>
  </si>
  <si>
    <t>Anaerobic digester for sludge</t>
  </si>
  <si>
    <t xml:space="preserve">Anaerobic reactor </t>
  </si>
  <si>
    <t>Anaerobic shallow lagoon</t>
  </si>
  <si>
    <t>Anaerobic deep lagoon</t>
  </si>
  <si>
    <t>Septic system</t>
  </si>
  <si>
    <t>Must be well managed. Some CH3 can be emitted from settling basins and other pockets</t>
  </si>
  <si>
    <t>Not well managed</t>
  </si>
  <si>
    <t>Overloaded</t>
  </si>
  <si>
    <t>CH4 recovery is not considered here</t>
  </si>
  <si>
    <t xml:space="preserve">CH4 recovery is not considered here </t>
  </si>
  <si>
    <t>Depth less than two meters</t>
  </si>
  <si>
    <t>Depth more than two meters</t>
  </si>
  <si>
    <t>Methane emitted</t>
  </si>
  <si>
    <t>(BOD in the influent - BOD in the effluent - BOD removed as sludge) * Emissions factor</t>
  </si>
  <si>
    <t xml:space="preserve">Biogas production </t>
  </si>
  <si>
    <t>Biogas produced Nm</t>
  </si>
  <si>
    <t xml:space="preserve">Methane released (produserer, bruker ikke) </t>
  </si>
  <si>
    <t>(0,02 * Biogas produced) *0,59*0,66*34</t>
  </si>
  <si>
    <t xml:space="preserve">Biogass faklet </t>
  </si>
  <si>
    <t xml:space="preserve">Biogass produsert - biogass valorisert </t>
  </si>
  <si>
    <t xml:space="preserve">N2O fra treatment process </t>
  </si>
  <si>
    <t xml:space="preserve">N2O emissions kg N2O = serviced population for WWTP (pers) * 1,25 *3.2/1000/365 dager * Ap (dager) </t>
  </si>
  <si>
    <t xml:space="preserve">GHG fra slambehadnling </t>
  </si>
  <si>
    <t>TS slam produsert</t>
  </si>
  <si>
    <t xml:space="preserve">Slamfordøyer eller ikke? </t>
  </si>
  <si>
    <t>BOD5 load (g/pers) *0,001*befolkning*dager*0,55*1,176</t>
  </si>
  <si>
    <t xml:space="preserve">Utslipp - Se verktøy </t>
  </si>
  <si>
    <t xml:space="preserve">Storage </t>
  </si>
  <si>
    <t>20 dager detention time</t>
  </si>
  <si>
    <t xml:space="preserve">5-20 dager </t>
  </si>
  <si>
    <t xml:space="preserve"> av metan i slammet</t>
  </si>
  <si>
    <t>av metan i slammet</t>
  </si>
  <si>
    <t xml:space="preserve">&lt;5 dager </t>
  </si>
  <si>
    <t>Composting</t>
  </si>
  <si>
    <t xml:space="preserve">Released to the atmosphere and compost is &lt;55% solids then </t>
  </si>
  <si>
    <t xml:space="preserve">CH4 emissions (kg CO₂ ekv.) </t>
  </si>
  <si>
    <t xml:space="preserve">Organic carbon in volatile solids </t>
  </si>
  <si>
    <t xml:space="preserve">Volatile solids in digested sludge </t>
  </si>
  <si>
    <t xml:space="preserve">Volatile solids in not-digested sludge </t>
  </si>
  <si>
    <t xml:space="preserve">C to CH4 conversion factor </t>
  </si>
  <si>
    <t>sludge mass (kg) * %organic C in sludge * % VS * CH4 emissions for uncovered pile *C to CH4 conversion factor * 34</t>
  </si>
  <si>
    <t xml:space="preserve">N2O emissions </t>
  </si>
  <si>
    <t xml:space="preserve">C:N ration &lt; 30 and compost is 55% solids, then </t>
  </si>
  <si>
    <t>Sludge treated (kg) * %total N * N2O emissions for low C:N * N to N2O conversion factor (1,57) * CNC</t>
  </si>
  <si>
    <t xml:space="preserve">% total N </t>
  </si>
  <si>
    <t>N2O emissions for low C:N</t>
  </si>
  <si>
    <t xml:space="preserve">N to N2O conversion factor </t>
  </si>
  <si>
    <t xml:space="preserve">CNC </t>
  </si>
  <si>
    <t xml:space="preserve">Incineration (combustion) </t>
  </si>
  <si>
    <t xml:space="preserve">Methane (CH4) emissions: </t>
  </si>
  <si>
    <t xml:space="preserve">minimal </t>
  </si>
  <si>
    <t xml:space="preserve">Ch4 emissions (kg Co2 eq) </t>
  </si>
  <si>
    <t>sludge treated (kg) * 0,0000485 kg CH4 /dry kg sludge * CMC</t>
  </si>
  <si>
    <t>N2O emissions</t>
  </si>
  <si>
    <t>% of total N * mass of sludge * (161,3 - 0,14) * (highest free board temp) * 0,01 * N to N2O conversion * CNC</t>
  </si>
  <si>
    <t xml:space="preserve">% of total N </t>
  </si>
  <si>
    <t>CNC</t>
  </si>
  <si>
    <t>Land application</t>
  </si>
  <si>
    <t xml:space="preserve">If the biosolids C:N ratio &lt;30 then </t>
  </si>
  <si>
    <t xml:space="preserve">sludge mass (kg) * % of total N * % of sludge applied on fine or coarse textured soils * % of N that goes to N2O conversion * CNC </t>
  </si>
  <si>
    <t xml:space="preserve">Total nitrogen in not-digested sludge </t>
  </si>
  <si>
    <t xml:space="preserve">Total nitrogen in digested sludge </t>
  </si>
  <si>
    <t xml:space="preserve">% of N that goes to N2O from fine textured soil </t>
  </si>
  <si>
    <t xml:space="preserve">% of N that goes to N2O from coarse-textured soil </t>
  </si>
  <si>
    <t xml:space="preserve">N to N2O conversion </t>
  </si>
  <si>
    <t xml:space="preserve">Landfill disposal </t>
  </si>
  <si>
    <t>Methane CH4 emissions</t>
  </si>
  <si>
    <t>sludge mass ( kg) * %VS * %organic C in VS * 0,9 * C to CH4 conversion factor * CH4 in landfill gas * % decomposed in first 3 years * MC landfill * CMC</t>
  </si>
  <si>
    <t xml:space="preserve">%organic carbon in volatile solids </t>
  </si>
  <si>
    <t xml:space="preserve">% of volatile solids in digested sludge </t>
  </si>
  <si>
    <t xml:space="preserve">% of volatile solids in not-digested sludge </t>
  </si>
  <si>
    <t xml:space="preserve">Model uncertainty factor </t>
  </si>
  <si>
    <t>% of CH4 in landfill gas</t>
  </si>
  <si>
    <t xml:space="preserve">% DOCf - decomposable organic fraction of raw wastewater solids </t>
  </si>
  <si>
    <t xml:space="preserve">% decomposed in first 3 years </t>
  </si>
  <si>
    <t>CMC: Conversion factor for CH4 emissions into CO₂ equivalent emissions</t>
  </si>
  <si>
    <t>MCF-landfill (methane correction for anaerobic managed landfills)</t>
  </si>
  <si>
    <t xml:space="preserve">Hvis C:N &lt; 30 </t>
  </si>
  <si>
    <t>Sludge mass (kg) * % of total N * N2O emisions for low C:N * N to N2O convesion  * CNC</t>
  </si>
  <si>
    <t>% of N2O emissions for low C:N</t>
  </si>
  <si>
    <t xml:space="preserve">Stockpiling </t>
  </si>
  <si>
    <t>kg CO₂ eq</t>
  </si>
  <si>
    <t xml:space="preserve">sludge mass (kg) * 90,3 * 0,001  </t>
  </si>
  <si>
    <t>Untreated wastewater discharge</t>
  </si>
  <si>
    <t>Population within the wastewater service area</t>
  </si>
  <si>
    <t xml:space="preserve">Population connected to sewers </t>
  </si>
  <si>
    <t xml:space="preserve">Population services by wastewater treatment </t>
  </si>
  <si>
    <t xml:space="preserve">Population with onsite treatment </t>
  </si>
  <si>
    <t xml:space="preserve">N2O emissions (kg CO₂ e) </t>
  </si>
  <si>
    <t>Population  connected to sewer system but not to any WWT * protein * dager/365 * 0,16 * 1,1 *1,25 * 0,005* 44/28 * CNC</t>
  </si>
  <si>
    <t>CH4 emissions (kg CO₂ e)</t>
  </si>
  <si>
    <t>Population connected to sewer system but not to any WWT * BOD/1000 * days *0,06 * CMC</t>
  </si>
  <si>
    <t xml:space="preserve">Samme for population not connected to sewer network </t>
  </si>
  <si>
    <t>GHG emissions from Onsite treatment</t>
  </si>
  <si>
    <t xml:space="preserve">Methane emissions </t>
  </si>
  <si>
    <t xml:space="preserve">Population with onsite treatment * BOD5/1000 x days * 0,06 * CMC </t>
  </si>
  <si>
    <t xml:space="preserve">CO₂, CH4, and N2O emissions from sludge transport off-site </t>
  </si>
  <si>
    <t xml:space="preserve">GHG emissions from treated effluent discharge </t>
  </si>
  <si>
    <t>Average nitrogen concentration in the effluent mg/L * (vol of treated weastewater (m³)/1000 * 0,005 * 44/28 * CNC</t>
  </si>
  <si>
    <t>Serviced population in sewer and WWTP (pers) * country specific average BOD5 (g/pers/day) * 0,8 (g VS /g BOD5 load) *0,4 (N L/g VS)/1000 * Ap (days)</t>
  </si>
  <si>
    <t xml:space="preserve">PERCENTAGE of CH4 emissions for uncovered pile </t>
  </si>
  <si>
    <t>Konstanter</t>
  </si>
  <si>
    <t>g VS/g BOD5 last</t>
  </si>
  <si>
    <t>Nitrogen per VS</t>
  </si>
  <si>
    <t>L/g VS</t>
  </si>
  <si>
    <t>Dager</t>
  </si>
  <si>
    <t xml:space="preserve">Biogass produsert </t>
  </si>
  <si>
    <t>Maximum methane production capacity (kg CH4/kg BOD5</t>
  </si>
  <si>
    <t>Metan i biogass</t>
  </si>
  <si>
    <t>Metan fra biogassproduksjon</t>
  </si>
  <si>
    <t>Tap av metan ved fakling</t>
  </si>
  <si>
    <t>kg CH4/Nm3</t>
  </si>
  <si>
    <t>Densitet metangass</t>
  </si>
  <si>
    <t>Nm3</t>
  </si>
  <si>
    <t>kg CH4/kg BOD</t>
  </si>
  <si>
    <t xml:space="preserve">Metode for avløpsbehandling </t>
  </si>
  <si>
    <t>kg</t>
  </si>
  <si>
    <t>g N2O/person/år</t>
  </si>
  <si>
    <t xml:space="preserve">N2O emissions factor </t>
  </si>
  <si>
    <t>Fraksjon av av industriell og komersiell protein sluppet ut per IPPCC (2006)</t>
  </si>
  <si>
    <t>Slamproduksjon</t>
  </si>
  <si>
    <t>våtvekt, kg TSS</t>
  </si>
  <si>
    <t>Rate av TSS til VSS i typisk aktivert slam</t>
  </si>
  <si>
    <t>TSS:VSS</t>
  </si>
  <si>
    <t>Ja/Nei</t>
  </si>
  <si>
    <t>Ja</t>
  </si>
  <si>
    <t>Nei</t>
  </si>
  <si>
    <t>dager</t>
  </si>
  <si>
    <t xml:space="preserve">Metaninnhold i slam </t>
  </si>
  <si>
    <t>Organisk karbon i TVS</t>
  </si>
  <si>
    <t xml:space="preserve">TVS i fordøyet slam </t>
  </si>
  <si>
    <t>TVS i ikke-fordøyet slam</t>
  </si>
  <si>
    <t>CH4 emissions for udekket kompost</t>
  </si>
  <si>
    <t>C til CH4</t>
  </si>
  <si>
    <t>Slambehandling</t>
  </si>
  <si>
    <t>CH4</t>
  </si>
  <si>
    <t>N2O</t>
  </si>
  <si>
    <t>N2O emissions for lav C:N</t>
  </si>
  <si>
    <t xml:space="preserve">N til N2O </t>
  </si>
  <si>
    <t>Forbrenning</t>
  </si>
  <si>
    <t>kg CH4/tørrslam</t>
  </si>
  <si>
    <t>Til landbruk</t>
  </si>
  <si>
    <t>% av N som går til N2O i fin-tekstur jord</t>
  </si>
  <si>
    <t>% av N som går til N2O i grov-tekstur jord</t>
  </si>
  <si>
    <t>Til deponi</t>
  </si>
  <si>
    <t>Usikkerhetsfaktor</t>
  </si>
  <si>
    <t>% DOC - nedbrytbar organisk andel av avløpsslam</t>
  </si>
  <si>
    <t xml:space="preserve">% nedbrutt ila. 3 år </t>
  </si>
  <si>
    <t>% av CH4 i deponigass</t>
  </si>
  <si>
    <t>Population with onsite treatment * protein * days /365 * 0,16 * 1,25*1,1 * 1,25 * 0,005 * 44/28 * CNC</t>
  </si>
  <si>
    <t>Nitrogenfraksjon i protein</t>
  </si>
  <si>
    <t>kg N/kg protein</t>
  </si>
  <si>
    <t>Faktor for ikke-konsumert protein i avløpsvann</t>
  </si>
  <si>
    <t>Faktor for industriell og komersiell protein i avløpsvann</t>
  </si>
  <si>
    <t>Effluentkonstant</t>
  </si>
  <si>
    <t>Årlig proteinkonsumpsjon per person</t>
  </si>
  <si>
    <t>Konversjonsfaktor mellom N og N2O-N</t>
  </si>
  <si>
    <t>kg N2O-N/kg N</t>
  </si>
  <si>
    <t>kg N2O/kg N2O-N</t>
  </si>
  <si>
    <t>kg protein/person/år</t>
  </si>
  <si>
    <t>Gjennomsnittlig nitrogeninnhold ved utløp</t>
  </si>
  <si>
    <t>mg/L</t>
  </si>
  <si>
    <t>Volum av behandlet vann</t>
  </si>
  <si>
    <t>m³/år</t>
  </si>
  <si>
    <t>Tørrvekt slam</t>
  </si>
  <si>
    <t>Forbrenningstemperatur</t>
  </si>
  <si>
    <t>K</t>
  </si>
  <si>
    <t xml:space="preserve">Tørrstoff i slam </t>
  </si>
  <si>
    <t>Kompostering</t>
  </si>
  <si>
    <t>% av N2O utslipp for lav C:N</t>
  </si>
  <si>
    <t>Velg avløpsbehandling</t>
  </si>
  <si>
    <t xml:space="preserve">Beregnede verdier </t>
  </si>
  <si>
    <t>Biogass</t>
  </si>
  <si>
    <t xml:space="preserve">Avløpsbehandling </t>
  </si>
  <si>
    <t>Detaljert input</t>
  </si>
  <si>
    <t>Velg slambehandling</t>
  </si>
  <si>
    <t>Klimagassutslipp</t>
  </si>
  <si>
    <t>Avløpsbehandling</t>
  </si>
  <si>
    <t>Slamforbrenning</t>
  </si>
  <si>
    <t>Slam til landbruk</t>
  </si>
  <si>
    <t>Slam til deponi</t>
  </si>
  <si>
    <t>Karakteriseringsfaktorer</t>
  </si>
  <si>
    <t>C:N forhold i slam</t>
  </si>
  <si>
    <t>Total</t>
  </si>
  <si>
    <t>Methane Correction Factor</t>
  </si>
  <si>
    <t>Andel av BOD ved innløp som ikke blir behandlet og blir med ved utløp</t>
  </si>
  <si>
    <t>Sekundol 85</t>
  </si>
  <si>
    <t>Data from Kemira. Report, U-735, from IVL 2003</t>
  </si>
  <si>
    <t>Yara (2010)</t>
  </si>
  <si>
    <t>Krüger Aqua (2012)</t>
  </si>
  <si>
    <t>GWP 100 (kg CO₂ ekv./m)</t>
  </si>
  <si>
    <t>AC</t>
  </si>
  <si>
    <t>Glassert</t>
  </si>
  <si>
    <t xml:space="preserve">Velg utskiftningsteknologi </t>
  </si>
  <si>
    <t>Utgraving</t>
  </si>
  <si>
    <t>Strømerenovering</t>
  </si>
  <si>
    <t>Ecoinvent v3.4</t>
  </si>
  <si>
    <t>Carbon footprint of wastewater treatment plants (2015)</t>
  </si>
  <si>
    <t xml:space="preserve">Data from Kemira. report, U-704, from IVL 2003. </t>
  </si>
  <si>
    <t>Yara (2013). Klimatavtryck. http://www.yara.se/doc/30031_Klimatavtryck_broschyr.pdf.</t>
  </si>
  <si>
    <t>kg CO₂ ekv./tonn Jernsulfat</t>
  </si>
  <si>
    <t>Jern(III)Sulfat</t>
  </si>
  <si>
    <t>kg CO₂ ekv./tonn produkt</t>
  </si>
  <si>
    <t>kg CO₂ ekv./tonn HCl</t>
  </si>
  <si>
    <t>kg CO₂ ekv./tonn NaClO</t>
  </si>
  <si>
    <t>kg CH4</t>
  </si>
  <si>
    <t xml:space="preserve">Brukt verdi </t>
  </si>
  <si>
    <t>Energibruk</t>
  </si>
  <si>
    <t>kWh</t>
  </si>
  <si>
    <t>Lengde</t>
  </si>
  <si>
    <t>Eddiksyre</t>
  </si>
  <si>
    <t>Glyserin</t>
  </si>
  <si>
    <t>Aktivert karbon - biogen opprinnelse</t>
  </si>
  <si>
    <t>Aktivert karbon - fossil opprinnelse</t>
  </si>
  <si>
    <t xml:space="preserve">Oktanol </t>
  </si>
  <si>
    <t>Litiumklorid</t>
  </si>
  <si>
    <t>Propan</t>
  </si>
  <si>
    <t>Aktiv Slam - God utforming</t>
  </si>
  <si>
    <t>Aktiv slam - Noen dårlig luftede soner</t>
  </si>
  <si>
    <t>Septiktank</t>
  </si>
  <si>
    <t>Direkte utslipp</t>
  </si>
  <si>
    <t>Våtmarker - Surface flow</t>
  </si>
  <si>
    <t>Våtmarker - Horizontal subsurface flow</t>
  </si>
  <si>
    <t>Våtmarker - Vertical subsurface flow</t>
  </si>
  <si>
    <t>Aktiv slam - Flere dårlig luftede soner</t>
  </si>
  <si>
    <t>Aktiv slam - Dårlig utforming</t>
  </si>
  <si>
    <r>
      <t>Hydrogenperoksid (H</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2</t>
    </r>
    <r>
      <rPr>
        <sz val="11"/>
        <color theme="1"/>
        <rFont val="Calibri"/>
        <family val="2"/>
        <scheme val="minor"/>
      </rPr>
      <t xml:space="preserve">) </t>
    </r>
  </si>
  <si>
    <r>
      <t>Svovelsyre (H</t>
    </r>
    <r>
      <rPr>
        <vertAlign val="subscript"/>
        <sz val="11"/>
        <color theme="1"/>
        <rFont val="Calibri"/>
        <family val="2"/>
        <scheme val="minor"/>
      </rPr>
      <t>2</t>
    </r>
    <r>
      <rPr>
        <sz val="11"/>
        <color theme="1"/>
        <rFont val="Calibri"/>
        <family val="2"/>
        <scheme val="minor"/>
      </rPr>
      <t>SO</t>
    </r>
    <r>
      <rPr>
        <vertAlign val="subscript"/>
        <sz val="11"/>
        <color theme="1"/>
        <rFont val="Calibri"/>
        <family val="2"/>
        <scheme val="minor"/>
      </rPr>
      <t>4</t>
    </r>
    <r>
      <rPr>
        <sz val="11"/>
        <color theme="1"/>
        <rFont val="Calibri"/>
        <family val="2"/>
        <scheme val="minor"/>
      </rPr>
      <t>)</t>
    </r>
  </si>
  <si>
    <t>Ionebyttesalt</t>
  </si>
  <si>
    <r>
      <t>Salpetersyre (HNO</t>
    </r>
    <r>
      <rPr>
        <vertAlign val="subscript"/>
        <sz val="11"/>
        <color theme="1"/>
        <rFont val="Calibri"/>
        <family val="2"/>
        <scheme val="minor"/>
      </rPr>
      <t>3</t>
    </r>
    <r>
      <rPr>
        <sz val="11"/>
        <color theme="1"/>
        <rFont val="Calibri"/>
        <family val="2"/>
        <scheme val="minor"/>
      </rPr>
      <t>)</t>
    </r>
  </si>
  <si>
    <t>Saltsyre (HCl)</t>
  </si>
  <si>
    <t>Natriumhypokloritt (NaClO)</t>
  </si>
  <si>
    <t>Brent kalk (CaO)</t>
  </si>
  <si>
    <r>
      <t>Lesket kalk, Ca(OH)</t>
    </r>
    <r>
      <rPr>
        <vertAlign val="subscript"/>
        <sz val="11"/>
        <color theme="1"/>
        <rFont val="Calibri"/>
        <family val="2"/>
        <scheme val="minor"/>
      </rPr>
      <t>2</t>
    </r>
  </si>
  <si>
    <t>Natriumhydroksid, NaOH 50%</t>
  </si>
  <si>
    <r>
      <t>Kalsiumkarbonat, CaCO</t>
    </r>
    <r>
      <rPr>
        <vertAlign val="subscript"/>
        <sz val="11"/>
        <color theme="1"/>
        <rFont val="Calibri"/>
        <family val="2"/>
        <scheme val="minor"/>
      </rPr>
      <t>3</t>
    </r>
  </si>
  <si>
    <t>Energi</t>
  </si>
  <si>
    <t>Naturgassfyring</t>
  </si>
  <si>
    <t>Oljefyring</t>
  </si>
  <si>
    <t>Pelletsfyring</t>
  </si>
  <si>
    <t>Salpetersyre (HNO3)</t>
  </si>
  <si>
    <t>Svovelsyre (H2SO4)</t>
  </si>
  <si>
    <t xml:space="preserve">Hydrogenperoksid (H2O2) </t>
  </si>
  <si>
    <t>Andre kjemikalier</t>
  </si>
  <si>
    <t>%</t>
  </si>
  <si>
    <t>Karbonkilder</t>
  </si>
  <si>
    <t>Metanol</t>
  </si>
  <si>
    <t>Etanol</t>
  </si>
  <si>
    <t>Sekundol 70</t>
  </si>
  <si>
    <t>Mosstanol</t>
  </si>
  <si>
    <t>tonn/år</t>
  </si>
  <si>
    <t>NOK</t>
  </si>
  <si>
    <t>Kontormateriell</t>
  </si>
  <si>
    <t>Inventar og utstyr</t>
  </si>
  <si>
    <t>kg CO₂ ekv./kWh</t>
  </si>
  <si>
    <t>kg CO₂ ekv./år</t>
  </si>
  <si>
    <t>Totale resultater</t>
  </si>
  <si>
    <t>Masser</t>
  </si>
  <si>
    <t>Slam</t>
  </si>
  <si>
    <t>Utslippsfaktor</t>
  </si>
  <si>
    <t>SUM</t>
  </si>
  <si>
    <t>Utslippsfaktorer</t>
  </si>
  <si>
    <t>Metan og Lystgassutslipp</t>
  </si>
  <si>
    <t xml:space="preserve">kg CO₂ Ekv. </t>
  </si>
  <si>
    <t>Vannbehandling</t>
  </si>
  <si>
    <t>Sum</t>
  </si>
  <si>
    <t>Dieselforbruk gravemaskin</t>
  </si>
  <si>
    <t>Rørmaterialer</t>
  </si>
  <si>
    <t>Utskifting</t>
  </si>
  <si>
    <t>Dieselforbruk grøftearbeider</t>
  </si>
  <si>
    <t>Dieselforbruk gravemaskin, l</t>
  </si>
  <si>
    <t>Dieselforbruk grøftearbeider, l</t>
  </si>
  <si>
    <t>Utslippsfaktor diesel</t>
  </si>
  <si>
    <t>Divstofforbruk gravemaskin liter/m³</t>
  </si>
  <si>
    <t>kg CO₂ ekv/l</t>
  </si>
  <si>
    <t>Dieselforbruk anleggsarbeider, liter/km</t>
  </si>
  <si>
    <t xml:space="preserve">m³ </t>
  </si>
  <si>
    <t xml:space="preserve">l/m³ </t>
  </si>
  <si>
    <t>l/km</t>
  </si>
  <si>
    <t xml:space="preserve">tonn/m³ </t>
  </si>
  <si>
    <t>kg CO₂ ekv/tkm</t>
  </si>
  <si>
    <t>Transportavstand overskuddsmasser</t>
  </si>
  <si>
    <t>Total utbygging</t>
  </si>
  <si>
    <t>Total utskifting</t>
  </si>
  <si>
    <t>Total Utblokking</t>
  </si>
  <si>
    <t>Total Strømperenovering</t>
  </si>
  <si>
    <t>Rør</t>
  </si>
  <si>
    <t>kg CO₂ ekv.</t>
  </si>
  <si>
    <t>Materialutslipp rør</t>
  </si>
  <si>
    <t>Overskuddsmasser</t>
  </si>
  <si>
    <t>Subtotal</t>
  </si>
  <si>
    <t xml:space="preserve">kg CO₂ ekv. </t>
  </si>
  <si>
    <t>Avstand til fabrikk</t>
  </si>
  <si>
    <t>km (snitt)</t>
  </si>
  <si>
    <t>Standard Verdi</t>
  </si>
  <si>
    <t>Dokumentert verdi</t>
  </si>
  <si>
    <t>Brukt verdi</t>
  </si>
  <si>
    <t>Har råtnetank?</t>
  </si>
  <si>
    <t>Slam produsert, etter råtnetank</t>
  </si>
  <si>
    <t>Resultater</t>
  </si>
  <si>
    <t>Approximation in relation to Pentanol in EcoInvent Database 2.0</t>
  </si>
  <si>
    <t>Utslippsfaktor størrelse</t>
  </si>
  <si>
    <t>Størrelse</t>
  </si>
  <si>
    <t>Innhold</t>
  </si>
  <si>
    <t>Tilbake til forside</t>
  </si>
  <si>
    <t>Vannbehandling - Resultater</t>
  </si>
  <si>
    <t>Vannbehandling - Input</t>
  </si>
  <si>
    <t>Avløpsbehandling - Input</t>
  </si>
  <si>
    <t>Avløpsbehandling - Resultater</t>
  </si>
  <si>
    <t>Beskrivelse</t>
  </si>
  <si>
    <t>Sammendrag</t>
  </si>
  <si>
    <t>Vann og Avløp</t>
  </si>
  <si>
    <t>PIX-111, Plusjern S314</t>
  </si>
  <si>
    <t>Gasser</t>
  </si>
  <si>
    <t>CO₂, ikke biogent</t>
  </si>
  <si>
    <t>Fosforsyre</t>
  </si>
  <si>
    <t>personekv.</t>
  </si>
  <si>
    <t xml:space="preserve">Er kompost dekket til? </t>
  </si>
  <si>
    <t>Hvis kompostering</t>
  </si>
  <si>
    <t>Utslippsfaktor per mengde produkt</t>
  </si>
  <si>
    <t>Utslippsfaktor per mengde virkestoff uten vanninnhold</t>
  </si>
  <si>
    <t xml:space="preserve">Her finner du utslippsfaktorer for alt forbruk, med mulighet til å sette inn egne dokumenterte utslippsfaktorer. </t>
  </si>
  <si>
    <t>Ledningsnett</t>
  </si>
  <si>
    <t>Renovering</t>
  </si>
  <si>
    <t>Utbygging av ledningsnett</t>
  </si>
  <si>
    <t>Renovering av ledningsnett</t>
  </si>
  <si>
    <t>Renovering med utskifting</t>
  </si>
  <si>
    <t>MCF direkteutslipp</t>
  </si>
  <si>
    <t>MCF septik tank</t>
  </si>
  <si>
    <t>Direkteutslipp avløpsvann</t>
  </si>
  <si>
    <t>Kjemikalier - felling</t>
  </si>
  <si>
    <t>Kjemikalier – pH-justering/korrosjonskontroll</t>
  </si>
  <si>
    <t>Materialutslipp, ledningsnett</t>
  </si>
  <si>
    <t>Kjemikalier - pH-justering/korrosjonskontroll</t>
  </si>
  <si>
    <t>Kjemikalier – Felling</t>
  </si>
  <si>
    <t>SP</t>
  </si>
  <si>
    <t>OV</t>
  </si>
  <si>
    <t>VL</t>
  </si>
  <si>
    <t>AF</t>
  </si>
  <si>
    <t>STJ</t>
  </si>
  <si>
    <t>BET</t>
  </si>
  <si>
    <t>Fellessystem</t>
  </si>
  <si>
    <t>Åpen grøft</t>
  </si>
  <si>
    <t>Boligområde</t>
  </si>
  <si>
    <t>Separatsystem</t>
  </si>
  <si>
    <t>Separat</t>
  </si>
  <si>
    <t>Felles</t>
  </si>
  <si>
    <t xml:space="preserve">Separat </t>
  </si>
  <si>
    <t>Masse utgravd,tonn</t>
  </si>
  <si>
    <t>Overskuddsmasse, tonn</t>
  </si>
  <si>
    <t>Hoved-/oppsamlingsledning</t>
  </si>
  <si>
    <t>System (km)</t>
  </si>
  <si>
    <t>PVC 160</t>
  </si>
  <si>
    <t>PE 300</t>
  </si>
  <si>
    <t>STJ 150</t>
  </si>
  <si>
    <t>STJ 250</t>
  </si>
  <si>
    <t>BET 300</t>
  </si>
  <si>
    <t>BET 600</t>
  </si>
  <si>
    <t>PE 600</t>
  </si>
  <si>
    <t>PVC 250</t>
  </si>
  <si>
    <t>Dieselforbruk tilkoblinger til strømpe, l</t>
  </si>
  <si>
    <t>1 km materiale brukt</t>
  </si>
  <si>
    <t>Totalvekt, kg</t>
  </si>
  <si>
    <t>SUM tkm</t>
  </si>
  <si>
    <t>Tetthet jord leire tonn/m³</t>
  </si>
  <si>
    <t>Korrosjonskontroll/ph-justering</t>
  </si>
  <si>
    <t>Kommentar</t>
  </si>
  <si>
    <t>kg CO₂ ekv./km</t>
  </si>
  <si>
    <t>1 km materiale brukt, diameter</t>
  </si>
  <si>
    <t>Utbygging og renovering av rør, per km</t>
  </si>
  <si>
    <t>Andre utslippsfaktorer</t>
  </si>
  <si>
    <t>Brukt faktor</t>
  </si>
  <si>
    <t>Standard verdi</t>
  </si>
  <si>
    <t>Enhet</t>
  </si>
  <si>
    <t>1 km materiale brukt, mm</t>
  </si>
  <si>
    <t>Vekt, kg/km</t>
  </si>
  <si>
    <t>Bolig separatsystem</t>
  </si>
  <si>
    <t>Bolig fellessystem</t>
  </si>
  <si>
    <t>kg CO₂ ek./</t>
  </si>
  <si>
    <t>Utslippsfaktorer vannbehandling</t>
  </si>
  <si>
    <t>Utslippsfaktorer ledningsnett</t>
  </si>
  <si>
    <t>Utslippsfaktorer avløpsbehandling</t>
  </si>
  <si>
    <t>Avløpsrensing</t>
  </si>
  <si>
    <t>Kostnadsart</t>
  </si>
  <si>
    <t>Undervisningsmateriell</t>
  </si>
  <si>
    <t>Medisinsk forbruksmateriell</t>
  </si>
  <si>
    <t>Medikamenter</t>
  </si>
  <si>
    <t xml:space="preserve">Matvarer </t>
  </si>
  <si>
    <t>Annen forbruksmateriell/råvarer og tjenester</t>
  </si>
  <si>
    <t>Post, banktjeneste, telefon</t>
  </si>
  <si>
    <t>Annonse, reklame og informasjon</t>
  </si>
  <si>
    <t>Opplæring og kurs</t>
  </si>
  <si>
    <t>Utgifter, godtgjørelser for reiser, diett, bil o.l som er oppgavepliktige</t>
  </si>
  <si>
    <t>Andre oppgavepliktige godtgjørelser</t>
  </si>
  <si>
    <t>Transportutgifter og drift av egne transportmidler</t>
  </si>
  <si>
    <t>Forsikringer og utgifter til vakthold og sikring</t>
  </si>
  <si>
    <t>Leie av lokaler og grunn</t>
  </si>
  <si>
    <t>Avgifter, gebyrer, lisenser o.l.</t>
  </si>
  <si>
    <t>Medisinsk utstyr</t>
  </si>
  <si>
    <t>Kjøp, leie og leasing av transportmidler</t>
  </si>
  <si>
    <t>Kjøp, leie og leasing av maskiner</t>
  </si>
  <si>
    <t>Vedlikehold og byggetjenester</t>
  </si>
  <si>
    <t>Serviceavtaler og reparasjoner</t>
  </si>
  <si>
    <t>Materialer til vedlikehold</t>
  </si>
  <si>
    <t>Renhold, vaskeri- og vaktmestertjenester</t>
  </si>
  <si>
    <t>Konsulenttjenester</t>
  </si>
  <si>
    <t>Grunnerverv</t>
  </si>
  <si>
    <t>Kjøp av eksisterende</t>
  </si>
  <si>
    <t>Internkjøp</t>
  </si>
  <si>
    <t>Fra staten</t>
  </si>
  <si>
    <t>Fra fylkeskommuner</t>
  </si>
  <si>
    <t>Fra kommuner</t>
  </si>
  <si>
    <t>Fra andre (private)</t>
  </si>
  <si>
    <t>Kjøp fra IKS der kommunen/fylkeskommunen selv er deltager</t>
  </si>
  <si>
    <t>Fra egne særbedrifter</t>
  </si>
  <si>
    <t>Forbruksmateriell</t>
  </si>
  <si>
    <t>Strøm</t>
  </si>
  <si>
    <t>Fjernvarme</t>
  </si>
  <si>
    <t>Fyringsolje</t>
  </si>
  <si>
    <t>Naturgass</t>
  </si>
  <si>
    <t>Bioenergi</t>
  </si>
  <si>
    <t>Reise</t>
  </si>
  <si>
    <t>Bygg og infrastruktur</t>
  </si>
  <si>
    <t>Anlegg og utstyr</t>
  </si>
  <si>
    <t>Klimagassutslipp per tjenestefunksjon (kg CO₂ ekv.)</t>
  </si>
  <si>
    <t>Kjøp fra andre</t>
  </si>
  <si>
    <t xml:space="preserve">Kjøp fra… </t>
  </si>
  <si>
    <t>Vannglass (Natriumsilikat)</t>
  </si>
  <si>
    <t>kg CO₂ ekv./tonn Vannglass</t>
  </si>
  <si>
    <t>Klor, flytende</t>
  </si>
  <si>
    <t>kg CO₂ ekv./tonn Cl</t>
  </si>
  <si>
    <t>Polymer</t>
  </si>
  <si>
    <t>Polyakrylamid</t>
  </si>
  <si>
    <t>Annet</t>
  </si>
  <si>
    <t>Produksjon av vann</t>
  </si>
  <si>
    <t>Distribusjon av vann</t>
  </si>
  <si>
    <t>Avløpsnett/innsamling</t>
  </si>
  <si>
    <t>Vann</t>
  </si>
  <si>
    <t>Avløp og OV</t>
  </si>
  <si>
    <t>Avløp og Overvann</t>
  </si>
  <si>
    <t xml:space="preserve"> Avløp og OV</t>
  </si>
  <si>
    <t>Metan og lystgassutslipp</t>
  </si>
  <si>
    <t>Delsum</t>
  </si>
  <si>
    <t>Avløp</t>
  </si>
  <si>
    <t>Verdi</t>
  </si>
  <si>
    <t>Materialbruk - Ledningsnett</t>
  </si>
  <si>
    <t>Biologisk rensing</t>
  </si>
  <si>
    <t>Kjemisk rensing</t>
  </si>
  <si>
    <t>Blir biogass faklet?</t>
  </si>
  <si>
    <t>Varmfakling</t>
  </si>
  <si>
    <t>Kaldfakling</t>
  </si>
  <si>
    <t>Biogass faklet (varm)</t>
  </si>
  <si>
    <t>Biogass faklet (kald)</t>
  </si>
  <si>
    <t>Gjennomsnittlig lagringstid før transport til avhending/bruk</t>
  </si>
  <si>
    <t>Ecoinvent v3.4, Methanol {GLO} production</t>
  </si>
  <si>
    <t>Ecoinvent v3.4, Ethanol, without water, in 99,7% solution state, from ethylene {RER}| ethylene hydration</t>
  </si>
  <si>
    <t>Kilde</t>
  </si>
  <si>
    <t>Ecoinvent v3.4, Acetic acid, without water, in 98% solution state {RER} | acetic acid production</t>
  </si>
  <si>
    <t>Ecoinvent v3.4, Glycerine {Europe without Switzerland} | esterification of rape oil</t>
  </si>
  <si>
    <t>Ecoinvent v.3.4, Lime, hydrated, packed {CH} | production</t>
  </si>
  <si>
    <t>Ecoinvent v.3.4, Quicklime, milled, packed {CH} |production</t>
  </si>
  <si>
    <t>Ecoinvent v.3.4, Phosphoric acid, fertilizer grade, without water, in 70% solution state {GLO}| market for</t>
  </si>
  <si>
    <t>Ecoinvent v.3.4, Hydrogen peroxide, without water, in 50% solution state {RER} | hydrogen peroxide production</t>
  </si>
  <si>
    <t>Ecoinvent v.3.4, Chlorine, liquid {GLO}| production</t>
  </si>
  <si>
    <t>Ecoinvent v.3.4, Lithium chloride {GLO}| production</t>
  </si>
  <si>
    <t>Ecoinvent v.3.4, Sodium hypochlorite, without water, in 15% solution state {RER}| sodium hypochlorite production</t>
  </si>
  <si>
    <t>Ecoinvent v.3.4, Propane {GLO}| extraction, from liquefied petroleum gas</t>
  </si>
  <si>
    <t>Ecoinvent v.3.4, Sulfuric acid {RER}| production</t>
  </si>
  <si>
    <t>Ecoinvent v.3.4, Sodium silicate, without water, in 48% solution state {RER}| sodium silicate production</t>
  </si>
  <si>
    <t>Natriumhydroksid, NaOH 30%</t>
  </si>
  <si>
    <t xml:space="preserve">Ecoinvent v.3.4, Sodium hydroxide, without water, in 50% solution state {RER}| chlor-alkali electrolysis, membrane cell </t>
  </si>
  <si>
    <t>Natriumhydroksid, NaoH 30%</t>
  </si>
  <si>
    <t>Ecoinvent v.3.4, Hydrochloric acid, without water, in 30% solution state {RER}| hydrochloric acid production, from the reaction of hydrogen with chlorine</t>
  </si>
  <si>
    <t>Transportsystem Vann</t>
  </si>
  <si>
    <t>Hovedledning separatsystem</t>
  </si>
  <si>
    <t>Hovedledning fellessystem</t>
  </si>
  <si>
    <t>Foreslåtte dimensjoner og materialer</t>
  </si>
  <si>
    <t>Vannledning</t>
  </si>
  <si>
    <t>Transportsystem Avløp</t>
  </si>
  <si>
    <t>Utbygging av ledningsnett, avløp</t>
  </si>
  <si>
    <t>VANN</t>
  </si>
  <si>
    <t>AVLØP</t>
  </si>
  <si>
    <t>Rustfritt stål</t>
  </si>
  <si>
    <t>Utsprengt masse</t>
  </si>
  <si>
    <t>ENKELT KLIMAREGNSKAP</t>
  </si>
  <si>
    <t>VANNBEHANDLING</t>
  </si>
  <si>
    <t>AVLØPSBEHANDLING</t>
  </si>
  <si>
    <t>Scope 1</t>
  </si>
  <si>
    <t>Scope 2</t>
  </si>
  <si>
    <t>Scope 3</t>
  </si>
  <si>
    <t>Avløpsnett innsamling</t>
  </si>
  <si>
    <t>TRANSPORTSYSTEMER VANN</t>
  </si>
  <si>
    <t>TRANSPORTSYSTEMER AVLØP</t>
  </si>
  <si>
    <t xml:space="preserve">SUM </t>
  </si>
  <si>
    <t xml:space="preserve">Scope 1 </t>
  </si>
  <si>
    <t>Klorgass</t>
  </si>
  <si>
    <t>Ecoinvent v.3.4, Chlorine, gaseous {RER}| chlor-alkali electrolysis, membrane cell</t>
  </si>
  <si>
    <t>Ecoinvent v3.4, Carbon dioxide, liquid {RER}| production, justert for norsk energibruk.</t>
  </si>
  <si>
    <t xml:space="preserve">Ecoinvent v3.4, Oxygen, liquid {RER}| air separation, cryogenic, justert for norsk energibruk </t>
  </si>
  <si>
    <t>Ecoinvent v3.4, expanded clay {DE}| production</t>
  </si>
  <si>
    <t>Ecoinvent v3.4, Hard coal {RoW}| hard coal mine operation and hard coal preparation</t>
  </si>
  <si>
    <t>Ecoinvent v3.4, Silica sand {DE}</t>
  </si>
  <si>
    <t>Ecoinvent v3.4, Lime, packed {CH}| production</t>
  </si>
  <si>
    <t xml:space="preserve">Mikronisert marmor </t>
  </si>
  <si>
    <t>Ecoinvent v3.4 74% Lime, packed {CH}|production, 26% Water, ultrapure {RER}| production</t>
  </si>
  <si>
    <t>STRØMFAKTORER</t>
  </si>
  <si>
    <t>Elektrisitet, Norsk forbruksmiks</t>
  </si>
  <si>
    <t>Elektrisitet, Nordisk forbruksmiks</t>
  </si>
  <si>
    <t>Egendefinert</t>
  </si>
  <si>
    <t>Slammet går til:</t>
  </si>
  <si>
    <r>
      <t>BOF</t>
    </r>
    <r>
      <rPr>
        <vertAlign val="subscript"/>
        <sz val="11"/>
        <color theme="1"/>
        <rFont val="Calibri"/>
        <family val="2"/>
        <scheme val="minor"/>
      </rPr>
      <t>5</t>
    </r>
    <r>
      <rPr>
        <sz val="11"/>
        <color theme="1"/>
        <rFont val="Calibri"/>
        <family val="2"/>
        <scheme val="minor"/>
      </rPr>
      <t xml:space="preserve"> ved innløp</t>
    </r>
  </si>
  <si>
    <r>
      <t>BOF</t>
    </r>
    <r>
      <rPr>
        <vertAlign val="subscript"/>
        <sz val="11"/>
        <color theme="1"/>
        <rFont val="Calibri"/>
        <family val="2"/>
        <scheme val="minor"/>
      </rPr>
      <t>5</t>
    </r>
    <r>
      <rPr>
        <sz val="11"/>
        <color theme="1"/>
        <rFont val="Calibri"/>
        <family val="2"/>
        <scheme val="minor"/>
      </rPr>
      <t xml:space="preserve"> ved utløp</t>
    </r>
  </si>
  <si>
    <r>
      <t>BOF</t>
    </r>
    <r>
      <rPr>
        <vertAlign val="subscript"/>
        <sz val="11"/>
        <color theme="1"/>
        <rFont val="Calibri"/>
        <family val="2"/>
        <scheme val="minor"/>
      </rPr>
      <t>5</t>
    </r>
    <r>
      <rPr>
        <sz val="11"/>
        <color theme="1"/>
        <rFont val="Calibri"/>
        <family val="2"/>
        <scheme val="minor"/>
      </rPr>
      <t xml:space="preserve"> fjernet som slam </t>
    </r>
  </si>
  <si>
    <t>VS per BOF5</t>
  </si>
  <si>
    <t>Metan i BOF</t>
  </si>
  <si>
    <t>Rate av g VSS per g BOF</t>
  </si>
  <si>
    <t>Estimerte verdier</t>
  </si>
  <si>
    <t xml:space="preserve">Total nitrogen i ikke forråtnet slam </t>
  </si>
  <si>
    <t>Total nitrogen i forråtnet slam</t>
  </si>
  <si>
    <t xml:space="preserve">kg CO₂ ekv./kg CH4 </t>
  </si>
  <si>
    <t>kg CO₂ ekv./kg N2O</t>
  </si>
  <si>
    <t>% BOF fjernet som slam</t>
  </si>
  <si>
    <t>System</t>
  </si>
  <si>
    <t>Ecoinvent v.3.4, Polyacrylamide {GLO}| production</t>
  </si>
  <si>
    <t>Virksomhet:</t>
  </si>
  <si>
    <t>Analyseår:</t>
  </si>
  <si>
    <t xml:space="preserve">Ecoinvent v3.4 &amp; EUROSTAT (snitt for 2014-2018) og ENTSO-E produksjon og importstatistikk. </t>
  </si>
  <si>
    <t>g/pe/dag</t>
  </si>
  <si>
    <t>Gjennomsnittlig BOF5 per personekvivalent</t>
  </si>
  <si>
    <t xml:space="preserve">Kjemikalier (trekkes fra annen forbruksmateriell/råvarer og tjenester) </t>
  </si>
  <si>
    <t>Ecoinvent v.3.4</t>
  </si>
  <si>
    <t>Zetag 8180/7550/8147</t>
  </si>
  <si>
    <t>Biogass solgt - regnes ikke i klimaregnskapet</t>
  </si>
  <si>
    <t>Endringslogg</t>
  </si>
  <si>
    <t>ALS</t>
  </si>
  <si>
    <r>
      <t>kg CO</t>
    </r>
    <r>
      <rPr>
        <vertAlign val="subscript"/>
        <sz val="11"/>
        <color theme="1"/>
        <rFont val="Calibri"/>
        <family val="2"/>
        <scheme val="minor"/>
      </rPr>
      <t>2</t>
    </r>
    <r>
      <rPr>
        <sz val="11"/>
        <color theme="1"/>
        <rFont val="Calibri"/>
        <family val="2"/>
        <scheme val="minor"/>
      </rPr>
      <t xml:space="preserve"> ekv./tonn ALS</t>
    </r>
  </si>
  <si>
    <t>Ecoinvent v3.4 Aluminium sulfate, powder {RER}| production</t>
  </si>
  <si>
    <t>Aluminiumsulfat</t>
  </si>
  <si>
    <t xml:space="preserve">Endret energibruk i transportsystemfaner til strøm </t>
  </si>
  <si>
    <t>Totalt strømforbruk</t>
  </si>
  <si>
    <t>SUM kronebeløp</t>
  </si>
  <si>
    <t>Kjemikalier og forbruksmateriell</t>
  </si>
  <si>
    <t>Transport av slam og masser</t>
  </si>
  <si>
    <t>Egen totalsum</t>
  </si>
  <si>
    <t>Summert fra regneark</t>
  </si>
  <si>
    <t>Brukt totalsum</t>
  </si>
  <si>
    <t xml:space="preserve">Endret kontroll av dobbelttelling ved at dette gjøres i de respektive fanene (vannbehandling, transportsystemer og avløpsbehandling). Disse trekkes fra i enkelt klimaregnskap) </t>
  </si>
  <si>
    <t xml:space="preserve">Lagt til utslippsfaktor for ALS, ALG og Ammoniakk. </t>
  </si>
  <si>
    <t>Det er gjort noen endringer i fanen Avløpsbehandling CH4&amp;N2O, avhending av slam er tatt vekk fra totalsummen da beregningene anses å ha for stor usikkerhet. Noen justeringer for lagring av slam, samt beskrivelse av hvordan de ulike parametrene påvirkes.</t>
  </si>
  <si>
    <t>ALG</t>
  </si>
  <si>
    <t>Data from Kemira. E-post 2019, ALG = granulert aluminiumsulfat</t>
  </si>
  <si>
    <t>Ammoniakk (NH3)</t>
  </si>
  <si>
    <t>Ecoinvent v 3.4, Ammonia, liquid {RER}| ammonia production, partial oxidation</t>
  </si>
  <si>
    <t>RESULTATER (kg CO2 ekv.)</t>
  </si>
  <si>
    <t>TOTALT (kg CO2 ekv.)</t>
  </si>
  <si>
    <t>Fjernet kolonnen administrasjon i enkelt klimaregnskap, da dette ikke er en egen KOSTRA art. Lagt til fordeling på drift og investering.</t>
  </si>
  <si>
    <t>Personekvivalenter innenfor området</t>
  </si>
  <si>
    <t>Personekvivalenter tilknyttet ledningsnett med direkteutslipp</t>
  </si>
  <si>
    <t>Personekvivalenter kommunalt ledningsnett og renseanlegg</t>
  </si>
  <si>
    <t xml:space="preserve">Personekvivalenter med privat avløpsrenseanlegg </t>
  </si>
  <si>
    <t>Personekvivalenter</t>
  </si>
  <si>
    <r>
      <t xml:space="preserve">Beskrivelse av forutsetninger i denne fanen
</t>
    </r>
    <r>
      <rPr>
        <sz val="11"/>
        <color theme="1"/>
        <rFont val="Calibri"/>
        <family val="2"/>
        <scheme val="minor"/>
      </rPr>
      <t>Denne beregningsmodellen er hentet fra "ECAM Energy Performance and Carbon Emissions Assessment and Monitoring tool" og tilpasset til norske forhold. Fanen gir et estimat av direkte utslipp av metan og lystgass fra avløpsbehandling. Hvis man synes resultatene avviker fra forventede utslipp kan man sjekke beregningene på:  http://wacclim.org/ecam/index.php 
Forutsetninger og faktorer brukt i beregninger kan finnes i fanen "Konstanter CH4&amp;N2O"</t>
    </r>
    <r>
      <rPr>
        <b/>
        <sz val="11"/>
        <color theme="1"/>
        <rFont val="Calibri"/>
        <family val="2"/>
        <scheme val="minor"/>
      </rPr>
      <t xml:space="preserve">
Personekvivalenter
</t>
    </r>
    <r>
      <rPr>
        <sz val="11"/>
        <color theme="1"/>
        <rFont val="Calibri"/>
        <family val="2"/>
        <scheme val="minor"/>
      </rPr>
      <t xml:space="preserve">Antall personekvivalenter brukes til å beregne belastning av protein (N2O utslipp) og BOF5 (metanutslipp) på avløpsanlegg. 1 personekvivalent er forutsatt å ha en belastning på 60g BOF5/dag og 3,2 g N2O/år. </t>
    </r>
    <r>
      <rPr>
        <b/>
        <sz val="11"/>
        <color theme="1"/>
        <rFont val="Calibri"/>
        <family val="2"/>
        <scheme val="minor"/>
      </rPr>
      <t xml:space="preserve">
</t>
    </r>
    <r>
      <rPr>
        <u/>
        <sz val="11"/>
        <color theme="1"/>
        <rFont val="Calibri"/>
        <family val="2"/>
        <scheme val="minor"/>
      </rPr>
      <t xml:space="preserve">Personekvivalenter innenfor området 
</t>
    </r>
    <r>
      <rPr>
        <sz val="11"/>
        <color theme="1"/>
        <rFont val="Calibri"/>
        <family val="2"/>
        <scheme val="minor"/>
      </rPr>
      <t xml:space="preserve">Summen av rad 4-6. </t>
    </r>
    <r>
      <rPr>
        <u/>
        <sz val="11"/>
        <color theme="1"/>
        <rFont val="Calibri"/>
        <family val="2"/>
        <scheme val="minor"/>
      </rPr>
      <t xml:space="preserve">
</t>
    </r>
    <r>
      <rPr>
        <sz val="11"/>
        <color theme="1"/>
        <rFont val="Calibri"/>
        <family val="2"/>
        <scheme val="minor"/>
      </rPr>
      <t xml:space="preserve">
</t>
    </r>
    <r>
      <rPr>
        <u/>
        <sz val="11"/>
        <color theme="1"/>
        <rFont val="Calibri"/>
        <family val="2"/>
        <scheme val="minor"/>
      </rPr>
      <t xml:space="preserve">Personekvivalenter tilknyttet ledningsnett med direkteutslipp
</t>
    </r>
    <r>
      <rPr>
        <sz val="11"/>
        <color theme="1"/>
        <rFont val="Calibri"/>
        <family val="2"/>
        <scheme val="minor"/>
      </rPr>
      <t xml:space="preserve">Direkteutslipp innebærer ubehandlet avløpsvann, som fører til betydelige utslipp av metan og lystgass.  </t>
    </r>
    <r>
      <rPr>
        <u/>
        <sz val="11"/>
        <color theme="1"/>
        <rFont val="Calibri"/>
        <family val="2"/>
        <scheme val="minor"/>
      </rPr>
      <t xml:space="preserve">
Personekvivalenter tilknyttet kommunelt ledningsnett og renseanlegg
</t>
    </r>
    <r>
      <rPr>
        <sz val="11"/>
        <color theme="1"/>
        <rFont val="Calibri"/>
        <family val="2"/>
        <scheme val="minor"/>
      </rPr>
      <t xml:space="preserve">Dette tallet brukes til å beregne lasten av BOF5 og protein på avløpsbehandlingsanlegget. </t>
    </r>
    <r>
      <rPr>
        <u/>
        <sz val="11"/>
        <color theme="1"/>
        <rFont val="Calibri"/>
        <family val="2"/>
        <scheme val="minor"/>
      </rPr>
      <t xml:space="preserve">
Personekvivalenter med privat avløpsrenseanlegg
</t>
    </r>
    <r>
      <rPr>
        <sz val="11"/>
        <color theme="1"/>
        <rFont val="Calibri"/>
        <family val="2"/>
        <scheme val="minor"/>
      </rPr>
      <t xml:space="preserve">Private avløpsrenseanlegg blir ikke inkludert i totalen da dette regnes utenfor systemgrensene. Likevel gjøres det et estimat av utslipp fra disse anleggene, basert på at det benyttes septiktank i privat avløpsrensing. </t>
    </r>
    <r>
      <rPr>
        <u/>
        <sz val="11"/>
        <color theme="1"/>
        <rFont val="Calibri"/>
        <family val="2"/>
        <scheme val="minor"/>
      </rPr>
      <t xml:space="preserve">
</t>
    </r>
    <r>
      <rPr>
        <b/>
        <sz val="11"/>
        <color theme="1"/>
        <rFont val="Calibri"/>
        <family val="2"/>
        <scheme val="minor"/>
      </rPr>
      <t xml:space="preserve">Avløpsbehandling
</t>
    </r>
    <r>
      <rPr>
        <u/>
        <sz val="11"/>
        <color theme="1"/>
        <rFont val="Calibri"/>
        <family val="2"/>
        <scheme val="minor"/>
      </rPr>
      <t xml:space="preserve">Nitrogeninnhold ved utløp
</t>
    </r>
    <r>
      <rPr>
        <sz val="11"/>
        <color theme="1"/>
        <rFont val="Calibri"/>
        <family val="2"/>
        <scheme val="minor"/>
      </rPr>
      <t xml:space="preserve">Nitrogeninnhold ved utløp ganget med volum av behandlet vann og konverteringsfaktorer, gir lystgassutslipp fra  nitrogen hos resipient. 
</t>
    </r>
    <r>
      <rPr>
        <u/>
        <sz val="11"/>
        <color theme="1"/>
        <rFont val="Calibri"/>
        <family val="2"/>
        <scheme val="minor"/>
      </rPr>
      <t xml:space="preserve">
Volum av behandlet vann
</t>
    </r>
    <r>
      <rPr>
        <sz val="11"/>
        <color theme="1"/>
        <rFont val="Calibri"/>
        <family val="2"/>
        <scheme val="minor"/>
      </rPr>
      <t>Brukes for å beregne utslipp av lystgass fra nitrogen hos resipient.</t>
    </r>
    <r>
      <rPr>
        <u/>
        <sz val="11"/>
        <color theme="1"/>
        <rFont val="Calibri"/>
        <family val="2"/>
        <scheme val="minor"/>
      </rPr>
      <t xml:space="preserve">
Estimerte verdier og detaljert input
</t>
    </r>
    <r>
      <rPr>
        <sz val="11"/>
        <color theme="1"/>
        <rFont val="Calibri"/>
        <family val="2"/>
        <scheme val="minor"/>
      </rPr>
      <t xml:space="preserve">Estimerte verdier beregnes basert på antall personekvivalenter og input fra rad 3-13. Disse kan overstyres med fysiske tall på BOF og biogassproduksjon. </t>
    </r>
    <r>
      <rPr>
        <u/>
        <sz val="11"/>
        <color theme="1"/>
        <rFont val="Calibri"/>
        <family val="2"/>
        <scheme val="minor"/>
      </rPr>
      <t xml:space="preserve">
BOF5
</t>
    </r>
    <r>
      <rPr>
        <sz val="11"/>
        <color theme="1"/>
        <rFont val="Calibri"/>
        <family val="2"/>
        <scheme val="minor"/>
      </rPr>
      <t xml:space="preserve">BOF5 ved innløp beregnes basert på antall personekvivalenter.
BOF 5 ved utløp estimeres til 10% av BOF 5 ved innløp. 
BOF 5 fjernet som slam er hentet fra tabell i arkfanen "Konstanter CH4 og N2O", basert på type avløpsbehandling. </t>
    </r>
    <r>
      <rPr>
        <u/>
        <sz val="11"/>
        <color theme="1"/>
        <rFont val="Calibri"/>
        <family val="2"/>
        <scheme val="minor"/>
      </rPr>
      <t xml:space="preserve">
</t>
    </r>
    <r>
      <rPr>
        <b/>
        <sz val="11"/>
        <color theme="1"/>
        <rFont val="Calibri"/>
        <family val="2"/>
        <scheme val="minor"/>
      </rPr>
      <t xml:space="preserve">
Biogass
</t>
    </r>
    <r>
      <rPr>
        <u/>
        <sz val="11"/>
        <color theme="1"/>
        <rFont val="Calibri"/>
        <family val="2"/>
        <scheme val="minor"/>
      </rPr>
      <t xml:space="preserve">Biogass produsert
</t>
    </r>
    <r>
      <rPr>
        <sz val="11"/>
        <color theme="1"/>
        <rFont val="Calibri"/>
        <family val="2"/>
        <scheme val="minor"/>
      </rPr>
      <t xml:space="preserve">Mengde biogass produsert er beregnet  basert på BOF lasten på anlegget og mengde VS i lasten. Konverteringsfaktorer er gitt i fanen "Konstanter CH4&amp;N2O" rad 5 og 6. 
</t>
    </r>
    <r>
      <rPr>
        <b/>
        <u/>
        <sz val="11"/>
        <color theme="1"/>
        <rFont val="Calibri"/>
        <family val="2"/>
        <scheme val="minor"/>
      </rPr>
      <t>Slambehandling</t>
    </r>
    <r>
      <rPr>
        <u/>
        <sz val="11"/>
        <color theme="1"/>
        <rFont val="Calibri"/>
        <family val="2"/>
        <scheme val="minor"/>
      </rPr>
      <t xml:space="preserve"> 
</t>
    </r>
    <r>
      <rPr>
        <sz val="11"/>
        <color theme="1"/>
        <rFont val="Calibri"/>
        <family val="2"/>
        <scheme val="minor"/>
      </rPr>
      <t xml:space="preserve">Utslipp fra slambehandling tar utgangspunkt i mengde slam produsert som estimeres eller spesifiseres. Slambehandling regnes som utenfor systemgrensene til selve avløpsbehandlingsanlegget og er ikke inkludert i totalutslippene til anlegget. Disse blir likevel estimert basert på bruksområdet. Da det er variasjon og usikkerheter knyttet til beregningene anbefales det å undersøke disse utslippene nærmere. Formler for beregning av metan og lystgassutslipp fra slambehandling finnes i arkfanen "Konstanter CH4&amp;N2O" rad 65-69.
</t>
    </r>
    <r>
      <rPr>
        <u/>
        <sz val="11"/>
        <color theme="1"/>
        <rFont val="Calibri"/>
        <family val="2"/>
        <scheme val="minor"/>
      </rPr>
      <t xml:space="preserve">Lagringstid
</t>
    </r>
    <r>
      <rPr>
        <sz val="11"/>
        <color theme="1"/>
        <rFont val="Calibri"/>
        <family val="2"/>
        <scheme val="minor"/>
      </rPr>
      <t xml:space="preserve">Lagring av slam før transport til avhending kan medføre utslipp av metangass. Hvis lagringstiden er lenger enn 20 dager, antas det at 5% av metangassen slippes ut. Hvis lagringstiden er mellom 5 og 20 dager antas det at 3% av metangassen slippes ut. Ellers er det ingen utslipp. </t>
    </r>
    <r>
      <rPr>
        <u/>
        <sz val="11"/>
        <color theme="1"/>
        <rFont val="Calibri"/>
        <family val="2"/>
        <scheme val="minor"/>
      </rPr>
      <t xml:space="preserve">
C:N forhold
</t>
    </r>
    <r>
      <rPr>
        <sz val="11"/>
        <color theme="1"/>
        <rFont val="Calibri"/>
        <family val="2"/>
        <scheme val="minor"/>
      </rPr>
      <t xml:space="preserve">Et lavt CN forhold i slammet vil gi høyere nitrogenutslipp ved deponering og kompostering av slam. </t>
    </r>
    <r>
      <rPr>
        <u/>
        <sz val="11"/>
        <color theme="1"/>
        <rFont val="Calibri"/>
        <family val="2"/>
        <scheme val="minor"/>
      </rPr>
      <t xml:space="preserve">
</t>
    </r>
  </si>
  <si>
    <t>Transport av masser</t>
  </si>
  <si>
    <t>Totalsummer for virksomheten</t>
  </si>
  <si>
    <t>Enkelt klimaregnskap - KOSTRA:</t>
  </si>
  <si>
    <t>Basert på KOSTRA-tall og korr.for detaljert input</t>
  </si>
  <si>
    <t>Spesifiser kronebeløp i venstre kolonne for å unngå dobbelttelling i enkelt klimaregnskap /virksomhetsregnskapet</t>
  </si>
  <si>
    <t>Kostnader</t>
  </si>
  <si>
    <t xml:space="preserve">I dette regnearket registrereres energiforbruk og kjemikalieforbruk for virksomhetens vannbehandlingsanlegg mer detaljert enn det som blir resultatet med kun bruk av bare Enkelt klimaregnskap. Angi forbruk for beregning av spesifikk klimafottavtrykk samt kostnader i kr, slik at totalregnskapet for virksomheten i arkfanen Enkelt klimaregnskap blir korrigerert. </t>
  </si>
  <si>
    <t>Her innsettes forbruksdata for årlig utbygging, drift og renovering av transportsystemer for avløp. Diametere for ulike typer avløpsledninger er satt, mens materialbruk bestemmes i tabellen: "Materialbruk - ledningsnett". Vanlig materialbruk for ulike vann- og avløpsledninger er vist i "Foreslåtte dimensjoner og materialer."                                                                                                                                        For mer detaljerte beregninger for klimagassutslipp fra ledningsnett se DiVA sin Klimakalkulator.  Registrer kostnader i kr i venstre kolonne, slik at virksomhetsregnskapet i arkfanen Enkelt klimaregnskap korrigeres for disse kostnadene for å unngå dobbeltføring.</t>
  </si>
  <si>
    <t>Transportsystem Avløp - Detaljert klimaregnskap for vesentlige innsatsfaktorer, metoder og materialbruk</t>
  </si>
  <si>
    <t>Transportsystemer Vann og Avløp - Detaljert regnskap for drift, fornyelse og ututbygging av transportsystemet</t>
  </si>
  <si>
    <t>Avløpsbehandling - Grunnlag for beregning av direkte utslipp av metan og lystgass fra renseanlegg og slamanlegg</t>
  </si>
  <si>
    <t>(Benytt dette feltet, hvis interkommunalt renseanlegg)</t>
  </si>
  <si>
    <t>Detaljert klimaregnskap for anleggene for avløpsrensing og slambehandling - bidrag fra energi, kjemikalieforbruk og direkte utslipp av klimagasser</t>
  </si>
  <si>
    <t>Energi (trekkes fra de respektive energipostene</t>
  </si>
  <si>
    <t>Drivstofforbruk anleggsarbeider</t>
  </si>
  <si>
    <t>Diesel</t>
  </si>
  <si>
    <t>Bioetanol</t>
  </si>
  <si>
    <t>km rør utbygd/år</t>
  </si>
  <si>
    <t>Elektriske anleggsmaskiner</t>
  </si>
  <si>
    <t>kWh/år</t>
  </si>
  <si>
    <t>liter drivstoff/år</t>
  </si>
  <si>
    <t>meter rør</t>
  </si>
  <si>
    <t>liter drivstoff/km</t>
  </si>
  <si>
    <t>Strømmiks, velges i fanen Vann og avløp - utslippsfaktorer</t>
  </si>
  <si>
    <t>Standardverdi</t>
  </si>
  <si>
    <t>Drivstofforbruk</t>
  </si>
  <si>
    <t>Forutsetninger</t>
  </si>
  <si>
    <t>EN 16258</t>
  </si>
  <si>
    <t>kg CO2 ekv./liter</t>
  </si>
  <si>
    <t>Drivstoff</t>
  </si>
  <si>
    <t>Biodiesel brennverdi</t>
  </si>
  <si>
    <t>Bioetanol brennverdi</t>
  </si>
  <si>
    <t>Biogass brennverdi</t>
  </si>
  <si>
    <t>Biogass tetthet</t>
  </si>
  <si>
    <t>Transport, båt (km)</t>
  </si>
  <si>
    <t>Transport, tog (km)</t>
  </si>
  <si>
    <t>Transport, lastebil(km)</t>
  </si>
  <si>
    <t>Transport, tog, (km)</t>
  </si>
  <si>
    <t>Ristgods</t>
  </si>
  <si>
    <t>Standard utslippsfaktor</t>
  </si>
  <si>
    <t>Brukt utslippsfaktor</t>
  </si>
  <si>
    <t>Nitrogenutslipp fra direkte utslipp</t>
  </si>
  <si>
    <t>Konverteringsfaktor fra N til N20</t>
  </si>
  <si>
    <t>kg N2O/kg N fjernet</t>
  </si>
  <si>
    <t>kg N2O/kg N</t>
  </si>
  <si>
    <t>Nm3/år</t>
  </si>
  <si>
    <t>Metaninnhold i biogass</t>
  </si>
  <si>
    <t>Faklet biogass</t>
  </si>
  <si>
    <t>Metanutslipp fra oppgradering</t>
  </si>
  <si>
    <t>Densitet metan</t>
  </si>
  <si>
    <t>kg/m3</t>
  </si>
  <si>
    <t>Brukt utslippfaktor</t>
  </si>
  <si>
    <t>IPCC (2014)</t>
  </si>
  <si>
    <t>kg CO2 ekv.</t>
  </si>
  <si>
    <t xml:space="preserve">kg CO2 ekv. </t>
  </si>
  <si>
    <t xml:space="preserve">Alternativt, fylles kg rørmateriale inn i tabellen nedenfor, denne ganges med utslippsfaktor per kg rør. </t>
  </si>
  <si>
    <t>kg CO2 ekv/tonn kjemikalie</t>
  </si>
  <si>
    <t>Egendefinerte forbruksvarer</t>
  </si>
  <si>
    <t>Skriv navn på vare her</t>
  </si>
  <si>
    <t>Transport av masser, slam, ristgods, etc</t>
  </si>
  <si>
    <t>Her kan egendefinerte forbruksvarer legges inn. Legg da inn både utslippsfaktor i kolonne B og forbruk i tonn i kolonne D.</t>
  </si>
  <si>
    <t>MJ/liter</t>
  </si>
  <si>
    <t>Avfall Norge (2017)</t>
  </si>
  <si>
    <t>Massetransport, jord, til og fra anlegg</t>
  </si>
  <si>
    <t>Drivstofforbruk, per km rør utbygd</t>
  </si>
  <si>
    <t>kWh/km</t>
  </si>
  <si>
    <t>kg CO2 ekv./kWh</t>
  </si>
  <si>
    <t>kg CO2 ekv/år</t>
  </si>
  <si>
    <t>Strømperenovering glassfiber</t>
  </si>
  <si>
    <t>km transport/år</t>
  </si>
  <si>
    <t xml:space="preserve">kg/meter </t>
  </si>
  <si>
    <t>Standardfaktor</t>
  </si>
  <si>
    <t>tonn materiale</t>
  </si>
  <si>
    <t>Fyll inn total km rør utbygd eller totalt drivstofforbruk</t>
  </si>
  <si>
    <t>Elektrisk</t>
  </si>
  <si>
    <t>kg CO2 ekv./år</t>
  </si>
  <si>
    <t>Transport av rørmaterialer</t>
  </si>
  <si>
    <t>Lastebil, km</t>
  </si>
  <si>
    <t>Båt, km</t>
  </si>
  <si>
    <t>Tog,km</t>
  </si>
  <si>
    <t>Transport av rør</t>
  </si>
  <si>
    <t>enhet</t>
  </si>
  <si>
    <t>kg N2O/år</t>
  </si>
  <si>
    <t>kg CH4/år</t>
  </si>
  <si>
    <t>Lystgassutslipp fra nitrogenfjerning</t>
  </si>
  <si>
    <t>Nitrogenfjerning</t>
  </si>
  <si>
    <t xml:space="preserve">Eksportert energi </t>
  </si>
  <si>
    <t>Eksportert fjernvarme</t>
  </si>
  <si>
    <t>Eksportert strøm, fra vannturbin o.l.</t>
  </si>
  <si>
    <t xml:space="preserve">Eksportert strøm </t>
  </si>
  <si>
    <t>Distribusjon</t>
  </si>
  <si>
    <t>Eksportert biogass til drivstoff</t>
  </si>
  <si>
    <t>Klimagassutslipp fra biogassproduksjon</t>
  </si>
  <si>
    <t>Resultat</t>
  </si>
  <si>
    <t>Energibruk ved oppgradering</t>
  </si>
  <si>
    <t>Nitrogenfjerning ved anlegget</t>
  </si>
  <si>
    <t>kg CH4/Nm3 biogass</t>
  </si>
  <si>
    <t>kg CO2 ekv/kWh</t>
  </si>
  <si>
    <t>Beregningsfaktorer</t>
  </si>
  <si>
    <t>Fossilt diesel</t>
  </si>
  <si>
    <t>Erstattede utslipp</t>
  </si>
  <si>
    <t>kg CO2 ekv./Nm3</t>
  </si>
  <si>
    <t>Utslippsfaktor fossilt diesel</t>
  </si>
  <si>
    <t>Brennverdi metangass</t>
  </si>
  <si>
    <t>kg/Nm3</t>
  </si>
  <si>
    <t>MJ/Nm3</t>
  </si>
  <si>
    <t>kg CO2 ekv./MJ</t>
  </si>
  <si>
    <r>
      <t>kg CO</t>
    </r>
    <r>
      <rPr>
        <vertAlign val="subscript"/>
        <sz val="11"/>
        <color theme="1"/>
        <rFont val="Calibri"/>
        <family val="2"/>
        <scheme val="minor"/>
      </rPr>
      <t>2</t>
    </r>
    <r>
      <rPr>
        <sz val="11"/>
        <color theme="1"/>
        <rFont val="Calibri"/>
        <family val="2"/>
        <scheme val="minor"/>
      </rPr>
      <t xml:space="preserve"> ekv./tonn ALG</t>
    </r>
  </si>
  <si>
    <t>kr/kWh</t>
  </si>
  <si>
    <t>Fyll inn totalt drivstofforbruk, hvis tilgjengelig. Ellers fylles inn informasjon om km transport.</t>
  </si>
  <si>
    <t>Diesel, B7</t>
  </si>
  <si>
    <t>Diesel, B0</t>
  </si>
  <si>
    <t>Biodiesel, konvensjonelt</t>
  </si>
  <si>
    <t>Biodiesel, avansert</t>
  </si>
  <si>
    <t>Massetransport, jord, grus og pukk</t>
  </si>
  <si>
    <t>Direkte utslipp av biogass (kaldfakling)</t>
  </si>
  <si>
    <t>HVO</t>
  </si>
  <si>
    <t>Nm3 drivstoff/km</t>
  </si>
  <si>
    <t>Nm3 drivstoff/år</t>
  </si>
  <si>
    <t>Diesel, B0 brennverdi</t>
  </si>
  <si>
    <t>Diesel, B7 brennverdi</t>
  </si>
  <si>
    <t>Valgt strømmiks</t>
  </si>
  <si>
    <t>milesBIO HVO100</t>
  </si>
  <si>
    <t xml:space="preserve">Totalt drivstofforbruk vil gi mest nøyaktige tall og er derfor å foretrekke. Drivstofforbruk per km rør utbygd representerer erfaringstall for åpen grøft med normale grunnlforhold, og kan variere i stor grad. Erfaringstall fra VAV for prosjekter i tettbygde strøk med vanskelige grunnforhold gir et estimert drivstofforbruk på 65 liter/meter. (Klimaetaten, Potensiale for utslippsreduksjon ved fossil- og utslippsfrie byggeplasser, 2018). </t>
  </si>
  <si>
    <t xml:space="preserve">Totalt drivstofforbruk vil gi mest nøyaktige tall og er derfor å foretrekke. Ved utfylling av km transport er det forutsatt en standard tipper lastebil med full last tur og tom last retur. Forutsetninger for drivstofforbruk og utslippsfaktorer kan endres i fanen "Transportsystemer, faktorer". For massetransport bør transport beregnes begge veier. </t>
  </si>
  <si>
    <t xml:space="preserve">Her innsettes forbruksdata for årlig utbygging, drift og renovering av transportsystemer for avløp. Drivstofforbruk for transport av masser registreres her. Alternativt kan antall km med transport per år brukes til å estimere klimafotavtrykket.  Fyll også ut forbruk av rørmaterialer i kilometer, eller tonn materiale. Registrer kostnader med tiltakene i kr i venstre kolonne, slik at virksomhetssregnskapet i enkelt klimaregnskap oppdateres med disse detaljerte beregningene. Resultatene vises i kolonne R-V, mens forutsetninger og utslippsfaktorer kan stilles på i fanen transportsystemer, faktorer.For kombinerte grøfter, bør drivstofforbruk fordeles mellom vann og avløp. </t>
  </si>
  <si>
    <t>Ecoinvent v 3.4</t>
  </si>
  <si>
    <t>Biogassproduksjon</t>
  </si>
  <si>
    <t>Direkte utslipp av biogass - før oppgradering</t>
  </si>
  <si>
    <t>Andre kjemikalier og forbruksvarer</t>
  </si>
  <si>
    <t>Konsentrasjon</t>
  </si>
  <si>
    <t>Propanfyring</t>
  </si>
  <si>
    <t>kg CO2 ekv./kg rør</t>
  </si>
  <si>
    <t>Avløp - Direkteutslipp og biogass</t>
  </si>
  <si>
    <t>Sum, gevinst fra eksportert energi</t>
  </si>
  <si>
    <t>Transport av masser - hvis massetransport går under art 170</t>
  </si>
  <si>
    <t>Transportsystemer for vann og avløp</t>
  </si>
  <si>
    <t>I denne arkfanen skal det registreres detaljer om energiforbruk fra ulike kilder, direkte utslipp (dersom beregninger foreligger) samt forbruk av kjemikalier til vann- og slambehandlingen på virksomhetens avløpsanlegg som grunnlag for en spesifikk klimafottavtrykk-beregning. Angi i tillegg kostnader for energi og kjemikalier, slik at virksomhetens totalregnskap (Enkelt klimaregnskap) korrigeres med disse kostnadene slik at dobbelttelling unngås.</t>
  </si>
  <si>
    <t>Sammendrag av resultatene</t>
  </si>
  <si>
    <t>Produksjon
av vann</t>
  </si>
  <si>
    <t>Distribusjon
 av vann</t>
  </si>
  <si>
    <t>Avløps-
rensing</t>
  </si>
  <si>
    <t>Avløps-transport</t>
  </si>
  <si>
    <t>Distribusjon
av vann</t>
  </si>
  <si>
    <t>1000 NOK</t>
  </si>
  <si>
    <t>Energi til driften</t>
  </si>
  <si>
    <t>Avløpstransport drift, vedlikehold, ledningsfornyelse og investeringer: Deltaljert klimaregnskap for vesentlig innsatsfaktorer, metoder og materialbruk</t>
  </si>
  <si>
    <t>Innsatsfaktorer ledningsfornyelse og investeringer i nye anlegg:</t>
  </si>
  <si>
    <t>Distribusjon av Vann drift, vedlikehold, ledningsfornyelse og investeringer: Deltaljert klimaregnskap for vesentlig innsatsfaktorer, metoder og materialbruk</t>
  </si>
  <si>
    <t>Produksjon av vann drift: Detaljert klimaregnskap for vesentlig innsatsfaktorer som energi- og kjemikalier</t>
  </si>
  <si>
    <t xml:space="preserve">Avløpsbehandling drift - Registrering av energi- og kjemikalieforbruk for behandling av avløpsvann og slam </t>
  </si>
  <si>
    <t>Energiforbruk drift og vedlikehold</t>
  </si>
  <si>
    <t xml:space="preserve">Summert fra regneark i 1000 kr     </t>
  </si>
  <si>
    <t>Brukt totalsum 1000 kr</t>
  </si>
  <si>
    <t>Nitrogenfjerning på renseanleggene med biologisk N-fjerning</t>
  </si>
  <si>
    <t>Produsert biogass/rågass i råtnetankene</t>
  </si>
  <si>
    <t>Klimagassutslipp fra oppgraderingen biogass/rågass til biometan. 
Bruk bransjenormens klimakalkulator for beregninger og sett inn verdiene her</t>
  </si>
  <si>
    <t>Direkte utslipp av biogass/rågass - før oppgradering</t>
  </si>
  <si>
    <t>BEREGNING AV UTSLIPP</t>
  </si>
  <si>
    <t>Renset mengde tot.N i renseanleggene med N-rensing</t>
  </si>
  <si>
    <t>kg tot.N-tot/år</t>
  </si>
  <si>
    <t xml:space="preserve">I denne skjema skal det registreres data for beregning av utslipp av lystgass og metan fra avløpsvann og slambehandling i biogassanlegg. Biogassanlegg er råtnetanker som produserer rågass samt anlegg som oppgraderer rågassen til biometan. Oppgradert biogass kan anvendes i transportsektoren som erstatning for fossile drivstoff. Beregningene av utslipp fra oppgraderingen av biogassen skal gjøres med bransjenormens klimakalkulator som skal benyttes ved rapporteringen til myndighetene. Legg inn resultatene i dette skjemaet. </t>
  </si>
  <si>
    <t xml:space="preserve">Direkte biogassutslipp </t>
  </si>
  <si>
    <t>Direkte utslipp av metan</t>
  </si>
  <si>
    <t>Direkte utslipp av klimagasser fra avløpsvann og biogass</t>
  </si>
  <si>
    <t>Kjemikalier drift</t>
  </si>
  <si>
    <t>Øvrig forbruksmateriell</t>
  </si>
  <si>
    <t>Avløpstransport</t>
  </si>
  <si>
    <t>Reiser</t>
  </si>
  <si>
    <t>Filtermasser forbruk rensing</t>
  </si>
  <si>
    <t>Transport av kjemikalier</t>
  </si>
  <si>
    <t>Slam, ristgods og masser</t>
  </si>
  <si>
    <t>Scope-fordeling for virksomheten kg CO₂ ekv./år</t>
  </si>
  <si>
    <t>Sum drift og vedlikehold</t>
  </si>
  <si>
    <t>Sum ledningsfornyelse og investeringer</t>
  </si>
  <si>
    <t>SUM DRIFT OG INVESTERINGER</t>
  </si>
  <si>
    <t>Avløpsrensing
og slam</t>
  </si>
  <si>
    <t>Sum vann
og avløp</t>
  </si>
  <si>
    <t>Samlet klimaregnskap for vann og avløp</t>
  </si>
  <si>
    <t>Vanntransport</t>
  </si>
  <si>
    <t>Vannproduksjon</t>
  </si>
  <si>
    <t>Avløp/slambehandling</t>
  </si>
  <si>
    <t>SUM klimagevinst kg CO₂ ekv./år</t>
  </si>
  <si>
    <t>Klimafotavtrykk kg CO2 ekv./år</t>
  </si>
  <si>
    <t>Transport av kjemikalier og slam m.m.</t>
  </si>
  <si>
    <t>Input KOSTRA regnskapsdata</t>
  </si>
  <si>
    <t xml:space="preserve">Alle må fylle ut skjemaet "Input KOSTRA regnskapsdata" for de funksjonene som virksomheten har. Registreres sum driftskostnader og sum investeringer på de opppgitte kostnadsartene. Dette gir et komplett klimaregnskap for hele virksomheten, VA-anleggene og de mer administrative aktivitetene i kommuner og selskap. Det skal fylles ut ett regneark for kommunen eller selskap, som omfatter alle anleggene som kommunen/selskapet eier. 
Ved utfylling av input-skjemaene for Vannbehandling, Avløpsrensing og Transportsystemet for vann og avløp, uarbeides det et mer detaljert og spesifikt regnskap for de viktigste innsatsfaktorene som virksomheten kan påvirke med sine valg av metoder, prosesser, materialvalg og energikilder. I disse skjemaene må også anskaffelsene i kr registreres (venstre kolonne i arkfanene). Basert på disse spesifiserte kroneverdiene blir hovedklimaregnskapet automatiskr korrigert, slik at dobbeltføringer unngås. 
For kommuner eller selskap som ikke fyller ut input-skjemaene for Vannbehandling, Avløpsrensing og/eller Transportsystemet for vann og avløp, vil klimaregnskapet kun baseres på regnskapsførte kostnader i skjemaet Hovedklimaregnskap (også kalt Enkelt klimaregnskap). Et slikt regnskap vil da ikke være like nøyaktig som om det registreres mer detaljerte innsatsfaktorer. </t>
  </si>
  <si>
    <t>Sammendraget viser virksomhetense klimaregnskap for direkte og indirekte utslipp: 
1. Virsomhetens totale klimaregnskap fordelt på funksjonene for vann og avløp, fordelt på ulike innsatsfaktorer på drift og investeringer. 
2. Detaljene i regnskapet avhenger av om de detaljerte inputskjemaene for hhv. vannproduksjon, avløpsrensing, vann og avløpstransport og gevinster med salg av energi er fylt ut. 
3. Klimagassregnskap er også fordelt mellom direkte og indirekte utslipp (Scope-fordeling): 
         -Scope 1: Direkteutslipp som kommer fra kilder innenfor virksomhetens
                         grenser. Dette kan typisk være fra forbrenning av drivstoff,
                         men også andre prosesser som forårsaker utslipp.
                         For eksempel fra nedbrytning av organisk avfall, 
                         prosessutslipp fra avløpsbehandling eller kjemisk industri.
        - Scope 2: Utslipp fra produksjon og distribusjon av innkjøpt energi. 
                         For eksempel elektrisitet, varme, damp og/eller kjøling.
        - Scope 3: Utslipp som forårsakes av virksomhetens aktiviteter og
                        innkjøp.</t>
  </si>
  <si>
    <t xml:space="preserve">Regnskapet kombinerer beregninger basert på regnskapsført kostnader for drift og investeringer samt mer detaljert input av innsatsfaktorer i produksjonen, </t>
  </si>
  <si>
    <t>Virksomhetens ansvarsområde:</t>
  </si>
  <si>
    <t xml:space="preserve">Ekstern vannproduksjon: </t>
  </si>
  <si>
    <t xml:space="preserve">Ekstern produksjon avløpsrensing: </t>
  </si>
  <si>
    <t xml:space="preserve">Ekstern slambehandling/biogassproduksjon: </t>
  </si>
  <si>
    <r>
      <t xml:space="preserve">Dette er et klimarapporteringsverktøy for Vannbransjen utarbeidet av Norsk Vann og Asplan Viak. Her kan du finne klimafotavtrykket for hele din virksomhet. For dokumentasjon og brukerveiledning se Norsk Vann Rapport </t>
    </r>
    <r>
      <rPr>
        <sz val="11"/>
        <color rgb="FFFF0000"/>
        <rFont val="Calibri"/>
        <family val="2"/>
        <scheme val="minor"/>
      </rPr>
      <t xml:space="preserve"> </t>
    </r>
    <r>
      <rPr>
        <sz val="11"/>
        <rFont val="Calibri"/>
        <family val="2"/>
        <scheme val="minor"/>
      </rPr>
      <t xml:space="preserve">Klimagassutslipp - veiledning for vannbransjen. </t>
    </r>
    <r>
      <rPr>
        <sz val="11"/>
        <color theme="1"/>
        <rFont val="Calibri"/>
        <family val="2"/>
        <scheme val="minor"/>
      </rPr>
      <t xml:space="preserve">
Dersom kommunen har ekstern produksjon av vann eller rensing av avløpsvann og slambehandling i interkommunale selskap eller ev. andre kommuner, så bør det eksterne selskapet lage klimaregnskap for denne delen. I sammenstillingen av dataene vil Norsk Vann gjøre en fordeling av kommunens andel av det eksterne fottavtrykket på hver av kommunene det gjelder. Dersom ekstern produsent ikke fører eget regnskap, må det angis kroneverdien på kjøp av tjenesten i KOSTRA regnskapet. </t>
    </r>
  </si>
  <si>
    <t xml:space="preserve">Kostnader per tjenestefunksjon 1000 kr </t>
  </si>
  <si>
    <t>SUM kronebeløp, 1000 NOK</t>
  </si>
  <si>
    <t>Energibruk drift og vedlikehold</t>
  </si>
  <si>
    <t>SUM kronebeløp, 1000 kr</t>
  </si>
  <si>
    <t>Egen totalsum, 1000 kr</t>
  </si>
  <si>
    <t>Summert fra regneark, 1000 kr</t>
  </si>
  <si>
    <t>Brukt totalsum, 1000 kr</t>
  </si>
  <si>
    <t xml:space="preserve">Transportsystemer </t>
  </si>
  <si>
    <t>Vann og avløpsbehandling</t>
  </si>
  <si>
    <t>Resultater detaljert</t>
  </si>
  <si>
    <t xml:space="preserve">Her vises resultater på detaljert nivå, fordelt på rapporterte verdier fra KOSTRA og de øvrige fanene. </t>
  </si>
  <si>
    <t>Transport av slam, ristgods og masser</t>
  </si>
  <si>
    <t>Produksjon av vann - Klimaregnskap utvalgte innsatsfaktorer og direkte utslipp</t>
  </si>
  <si>
    <t>Beregninger - direkteutslipp av metangass</t>
  </si>
  <si>
    <t>Oppsummering</t>
  </si>
  <si>
    <t>kg CO2 ekv</t>
  </si>
  <si>
    <t>Produksjon av rågass før ev. oppgradering</t>
  </si>
  <si>
    <t>Direkte utslipp av rågass - før oppgradering</t>
  </si>
  <si>
    <t>Lystgassutslipp fra N-rensing i renseanlegg</t>
  </si>
  <si>
    <t>Metanutslipp ved kaldfakling</t>
  </si>
  <si>
    <t>Metanutslipp ved varmfakling</t>
  </si>
  <si>
    <t>INPUT DATA</t>
  </si>
  <si>
    <t>PE, rørstørrelse</t>
  </si>
  <si>
    <t>EN16258 - Metode for beregning av og deklarering av energiforbruk og klimagassutslipp for transporttjenester (</t>
  </si>
  <si>
    <t>Vann og avløpsbehandling: Lagt til togtransport og båttransport for alle transport, lastebiltransport er definert som 50% kapasitetsfaktor (tur-retur)</t>
  </si>
  <si>
    <t>Vann og avløpsbehandling: Lagt til mulighet til å legge inn egendefinerte forbruksvarer, må da selv fylle ut utslippsfaktor</t>
  </si>
  <si>
    <t>Vann og avløpsbehandling: For noen kjemikalier kan nå konsentrasjon spesifiseres. Utslippsfaktor er fortsatt per mengde virkestoff, men transport beregnes ved totalvekt inkl. vann</t>
  </si>
  <si>
    <t>Transportsystemer: Endret for å øke transparens på beregninger. Kan nå spesifisere drivstofforbruk fra lastebiler og antall kilometer transport
Drivstofforbruk fra anleggsmaskiner/antall kilometer rør utbygd. 
Mulighet for ulike typer drivstoff og elektriske anleggsmaskiner. 
Lagt til flere rørdimensjoner</t>
  </si>
  <si>
    <t>Avløp, direkteutslipp og biogass: 
Forenklet regneark med enklere beregninger, mulighet til å endre utslippsfaktorer
Fjernet bruk av slam og biorest, da dette er veldig usikre tall 
Koblet biogassproduksjon til bransjenormen sin klimakalkulator</t>
  </si>
  <si>
    <t>Lagt til gevinst fra eksportert energi</t>
  </si>
  <si>
    <t>Type transport</t>
  </si>
  <si>
    <t>Energiforbruk MJ/tonn-km</t>
  </si>
  <si>
    <t>Velg</t>
  </si>
  <si>
    <t>NA</t>
  </si>
  <si>
    <t>Lett lastebil (dieselmotor)</t>
  </si>
  <si>
    <t>Lett lastebil (CNG/LPG)</t>
  </si>
  <si>
    <t>Lett lastebil (HEV/B7)</t>
  </si>
  <si>
    <t>Lett lastebil (FCEV)</t>
  </si>
  <si>
    <t>Tung lastebil (dieselmotor)</t>
  </si>
  <si>
    <t>Tung lastebil (CNG/LNG)</t>
  </si>
  <si>
    <t>Tung lastebil (HEV/B7)</t>
  </si>
  <si>
    <t>Elektrisk tog</t>
  </si>
  <si>
    <t>Diesel tog</t>
  </si>
  <si>
    <t>Velg båt type</t>
  </si>
  <si>
    <t>Cargo/kontainer skip 10.000 tonn</t>
  </si>
  <si>
    <t>Cargo/kontainer skip 7.500 tonn</t>
  </si>
  <si>
    <t>Indirekte: WTT
(g CO2e./MJ)</t>
  </si>
  <si>
    <t>Velg drivstoff type</t>
  </si>
  <si>
    <t>Elektrisitet</t>
  </si>
  <si>
    <t>Biometan CBM</t>
  </si>
  <si>
    <t>Biodiesel (Circle K, Esso, UnoX)</t>
  </si>
  <si>
    <t>HVO frityrolje</t>
  </si>
  <si>
    <t>HVO tallolje</t>
  </si>
  <si>
    <t>HVO rapsolje</t>
  </si>
  <si>
    <t>FAME raps</t>
  </si>
  <si>
    <t>FAME soya</t>
  </si>
  <si>
    <t>Etanol mais</t>
  </si>
  <si>
    <t>Etanol hvete</t>
  </si>
  <si>
    <t>LPG</t>
  </si>
  <si>
    <t>LNG</t>
  </si>
  <si>
    <t>CNG</t>
  </si>
  <si>
    <t>Hydrogen (blå)</t>
  </si>
  <si>
    <t>Hydrogen (grønn)</t>
  </si>
  <si>
    <t>Type transport, tog</t>
  </si>
  <si>
    <t>Type transport, lastebil</t>
  </si>
  <si>
    <t>Type drivstoff, lastebil</t>
  </si>
  <si>
    <t>Type transport, båt</t>
  </si>
  <si>
    <t>Utslippsfaktor, lastebil</t>
  </si>
  <si>
    <t>Utslippsfaktor, båt</t>
  </si>
  <si>
    <t>Egendefinert lastebil 1</t>
  </si>
  <si>
    <t>Egendefinert lastebil 2</t>
  </si>
  <si>
    <t>Egendefinert lastebil 3</t>
  </si>
  <si>
    <t>Egendefinert tog 1</t>
  </si>
  <si>
    <t>Egendefinert båt 1</t>
  </si>
  <si>
    <t>Utslippsfaktor, tog</t>
  </si>
  <si>
    <t>Egendefinert drivstoff 1</t>
  </si>
  <si>
    <t>Egendefinert drivstoff 2</t>
  </si>
  <si>
    <t>Egendefinert drivstoff 3</t>
  </si>
  <si>
    <t>direkte utslipp TTW
(g CO2e. /MJ)</t>
  </si>
  <si>
    <t>Lastebil</t>
  </si>
  <si>
    <t>Beregninger - transport</t>
  </si>
  <si>
    <t>Sum  (g CO2 e./MJ)</t>
  </si>
  <si>
    <t>Aktivt kull - biogen opprinnelse</t>
  </si>
  <si>
    <t>Aktivt kull - fossil opprinnelse</t>
  </si>
  <si>
    <t>Aktivt kull - regenerert</t>
  </si>
  <si>
    <t>Utslipp g CO2e./tonn-km - tog Scope 3</t>
  </si>
  <si>
    <t>Utslipp g CO2e./tonn-km - tog Scope 1</t>
  </si>
  <si>
    <t>Utslipp g CO2e./tonn-km - båt - Scope 1</t>
  </si>
  <si>
    <t>Utslipp g CO2e./tonn-km - båt - Scope 2</t>
  </si>
  <si>
    <t>Utslipp g CO2e./tonn-km - båt - Scope 3</t>
  </si>
  <si>
    <t>Båt</t>
  </si>
  <si>
    <t>Tog</t>
  </si>
  <si>
    <t>F.eks Klor 15 %, mengde klor oppgis uten vann i tonn/år</t>
  </si>
  <si>
    <t>Vekt, tonn</t>
  </si>
  <si>
    <t>lastebil g CO2ekv/tkm</t>
  </si>
  <si>
    <t>Båt g CO2ekv/tkm</t>
  </si>
  <si>
    <t>Tog g CO2ekv/tkm</t>
  </si>
  <si>
    <t xml:space="preserve">Totalt drivstofforbruk vil gi mest nøyaktige tall og er derfor å foretrekke. Drivstofforbruk per km rør utbygd representerer erfaringstall for åpen grøft med normale grunnforhold, og kan variere i stor grad. Erfaringstall fra VAV for prosjekter i tettbygde strøk med vanskelige grunnforhold gir et estimert drivstofforbruk på 65 liter/meter. (Klimaetaten, Potensiale for utslippsreduksjon ved fossil- og utslippsfrie byggeplasser, 2018). </t>
  </si>
  <si>
    <t>Transport av massser i drift (trekkes fra transportutgifter og drift av egne transportmidler)</t>
  </si>
  <si>
    <t>Kronebeløp som er spesifisert i faner Input, som skal korrigere hovedregnskapet basert på regnskapstall</t>
  </si>
  <si>
    <t>INVESTERINGER FOR ALLE TJENESTEFUNKSJONER</t>
  </si>
  <si>
    <t>Ecoinvent v. 3.7, Activated carbon, granular {RER}, treatment of spent activated carbon, reactivation</t>
  </si>
  <si>
    <t>Ecoinvent v3.4, nasjonal produksjonsmiks, klimagassutslipp fra avfallsbehandling er fordelt på varmeproduksjon og avfallsbehandling etter inntekt</t>
  </si>
  <si>
    <t>Sitronsyre</t>
  </si>
  <si>
    <t>Ecoinvent v.3.7, Citric Acid {RER}| production</t>
  </si>
  <si>
    <t xml:space="preserve">Input av regnskapsførte driftskostnader </t>
  </si>
  <si>
    <t>Faklet biogass (varmfakling)</t>
  </si>
  <si>
    <t>enhet drivstoff/år</t>
  </si>
  <si>
    <t>Type drivstoff</t>
  </si>
  <si>
    <t>Utslippsfaktor per liter</t>
  </si>
  <si>
    <t>kr/liter</t>
  </si>
  <si>
    <t>kg CO2 ekv/liter</t>
  </si>
  <si>
    <t>Utslippsfaktor per krone</t>
  </si>
  <si>
    <t>kg/liter</t>
  </si>
  <si>
    <t>Pris per liter 2020, diesel</t>
  </si>
  <si>
    <t>Avgiftsfri diesel (ingen veiavgift)</t>
  </si>
  <si>
    <t>Autodiesel per krone</t>
  </si>
  <si>
    <t>Massetransport, jord, grus og pukk, transportmiddel</t>
  </si>
  <si>
    <t>Ecoinvent v 3.7</t>
  </si>
  <si>
    <t>Annet (Vedlikehold og byggetjenester)</t>
  </si>
  <si>
    <t xml:space="preserve">I dette regnearket registrereres energiforbruk og kjemikalieforbruk for virksomhetens vannbehandlingsanlegg detaljert. Angi også anskaffelseskostnadene for hver innsatsfaktor i den venstre kolonnen, slik at hovedkalkylen basert på KOSTRA regnskapsdata blir korrigert.  Ved å trykke på plusstegnet over kolonne P kan man spesifisere transportteknologi og drivstoff for lastebil, båt og tog. Transportavstander bør beregnes begge veier hvis lastebilen kjører med tom last tilbake, ellers en vei. </t>
  </si>
  <si>
    <t xml:space="preserve">Kilder (Bergen Vann): </t>
  </si>
  <si>
    <t>(2)</t>
  </si>
  <si>
    <t>(3)</t>
  </si>
  <si>
    <t>Drivstofftype</t>
  </si>
  <si>
    <t>(1)</t>
  </si>
  <si>
    <t>(4), (1)</t>
  </si>
  <si>
    <t>(5)</t>
  </si>
  <si>
    <t>(1, 6)</t>
  </si>
  <si>
    <t>Referanser</t>
  </si>
  <si>
    <t xml:space="preserve">https://joint-research-centre.ec.europa.eu/welcome-jec-website/jec-publications/jec-version-5-2020_en </t>
  </si>
  <si>
    <t>(4)</t>
  </si>
  <si>
    <t>(6)</t>
  </si>
  <si>
    <t>Nedre brennverdi MJ per enhet</t>
  </si>
  <si>
    <t>https://lca.tools/eTrans/transportExp.aspx</t>
  </si>
  <si>
    <t>LCA.no, transportkalkulator</t>
  </si>
  <si>
    <t>Vestlandsforskning-rapport nr.2/2010 "Transport, energi og miljø" av Morten Simonsen, Tabeller 84 og 88.</t>
  </si>
  <si>
    <t>https://www.miljodirektoratet.no/ansvarsomrader/klima/transport/biodrivstoff/</t>
  </si>
  <si>
    <t xml:space="preserve">http://www.cer-rec.gc.ca/en/data-analysis/energy-markets/market-snapshots/2020/market-snapshot-hydrogen-potential.html </t>
  </si>
  <si>
    <t xml:space="preserve">https://eur-lex.europa.eu/legal-content/EN/TXT/PDF/?uri=CELEX:32019R1242&amp;from=EN </t>
  </si>
  <si>
    <t>liter</t>
  </si>
  <si>
    <t>Maskiner og utstyr</t>
  </si>
  <si>
    <t>Bygg og anlegg</t>
  </si>
  <si>
    <r>
      <rPr>
        <b/>
        <sz val="11"/>
        <color theme="1"/>
        <rFont val="Calibri"/>
        <family val="2"/>
        <scheme val="minor"/>
      </rPr>
      <t>Dette regnearket utgår for rapportering fra og med 2022</t>
    </r>
    <r>
      <rPr>
        <sz val="11"/>
        <color theme="1"/>
        <rFont val="Calibri"/>
        <family val="2"/>
        <scheme val="minor"/>
      </rPr>
      <t xml:space="preserve">. Det kan benyttes til å gjøre kalkulasjoner og beregninger som kan fylles ut i arket "Investeringer, alle tjenesteområder."
Her innsettes forbruksdata for årlig utbygging, drift og renovering av transportsystemer for vann. Drivstofforbruk for transport av masser registreres her. Alternativt kan antall tonn-km med transport per år brukes til å estimere klimafotavtrykket.  Fyll også ut forbruk av rørmaterialer i kilometer, eller tonn materiale. Registrer kostnader med tiltakene i kr i venstre kolonne, slik at virksomhetssregnskapet i enkelt klimaregnskap oppdateres med disse detaljerte beregningene. Resultatene vises i kolonne R-V, mens forutsetninger og utslippsfaktorer kan stilles på i fanen transportsystemer, faktorer. For kombinerte grøfter, bør drivstofforbruk fordeles mellom vann og avløp. </t>
    </r>
  </si>
  <si>
    <t xml:space="preserve">Utslippsfaktorer for Transport </t>
  </si>
  <si>
    <t>Biogass og naturgass</t>
  </si>
  <si>
    <t>Hybrid lastebil, B7 biodiesel</t>
  </si>
  <si>
    <t>Beregninger, transport</t>
  </si>
  <si>
    <t>Magnesiumklorid</t>
  </si>
  <si>
    <t>EPD for MG kombi, EPDnr: NEPD-2802-1405-NO, justert for virkestoffinnhold på 47%</t>
  </si>
  <si>
    <t>kg CO₂ ekv./tonn MgCl2</t>
  </si>
  <si>
    <t>Utslippsfaktor fra transport er hentet fra Bergen Vann sitt klimagassregnskap, med kilder som oppgitt i bunnen av regnearket. Alle transportberegninger i regnearket benytter nedtrekksmenyer fra denne fanen. Det kan legges til nye faktorer i nedtrekksmenyene i de grønne cellene. For lastebil må det legges til både energiforbruk for type lastebil, og utslipp per MJ drivstoff, mens for båt og tog legges kun utslippsfaktor per tonn-km.</t>
  </si>
  <si>
    <t xml:space="preserve">Fuelcell (hydrogen) </t>
  </si>
  <si>
    <t>Energibruk, referanse</t>
  </si>
  <si>
    <t>Utslipp, referanse</t>
  </si>
  <si>
    <t>Utslipp, Referanse</t>
  </si>
  <si>
    <t>Forklaring på akronym</t>
  </si>
  <si>
    <t>Utslipp g CO2e./tonn-km tog Scope 2</t>
  </si>
  <si>
    <t>tonn-km transport/år</t>
  </si>
  <si>
    <t>Totalvekt, tonn</t>
  </si>
  <si>
    <t xml:space="preserve">Resultater, kg CO2 ekv. </t>
  </si>
  <si>
    <t xml:space="preserve">SUM, kg CO2 ekv. </t>
  </si>
  <si>
    <t>Investeringer i ledningsanlegg, lastebil</t>
  </si>
  <si>
    <t>Resultater for tonn-km</t>
  </si>
  <si>
    <t>Resultat for enhet (liter, Nm3 etc.)</t>
  </si>
  <si>
    <t>(7)</t>
  </si>
  <si>
    <t>Nedre brennverdi: https://www.engineeringtoolbox.com/fuels-higher-calorific-values-d_169.html</t>
  </si>
  <si>
    <t xml:space="preserve">Totalt drivstofforbruk vil gi mest nøyaktige tall og er derfor å foretrekke. Ved utfylling av km transport er det forutsatt en standard tipper lastebil med full last tur og tom last retur. Forutsetninger for drivstofforbruk og utslippsfaktorer kan endres i fanen "Utslippsfaktorer, transport". Avstand bør beregnes en vei hvis lastebilen kommer tilbake med full last, og to veier hvis latebilen kommer tilbake med tom last. </t>
  </si>
  <si>
    <r>
      <rPr>
        <b/>
        <sz val="11"/>
        <color theme="1"/>
        <rFont val="Calibri"/>
        <family val="2"/>
        <scheme val="minor"/>
      </rPr>
      <t>Dette regnearket utgår for rapportering fra og med 2022</t>
    </r>
    <r>
      <rPr>
        <sz val="11"/>
        <color theme="1"/>
        <rFont val="Calibri"/>
        <family val="2"/>
        <scheme val="minor"/>
      </rPr>
      <t xml:space="preserve"> Her innsettes forbruksdata for årlig utbygging, drift og renovering av transportsystemer for vann. Drivstofforbruk for transport av masser registreres her. Alternativt kan antall km med transport per år brukes til å estimere klimafotavtrykket.  Fyll også ut forbruk av rørmaterialer i kilometer, eller tonn materiale. Registrer kostnader med tiltakene i kr i venstre kolonne, slik at virksomhetssregnskapet i enkelt klimaregnskap oppdateres med disse detaljerte beregningene. Resultatene vises i kolonne R-V, mens forutsetninger og utslippsfaktorer kan stilles på i fanen transportsystemer, faktorer. For kombinerte grøfter, bør drivstofforbruk fordeles mellom vann og avløp. </t>
    </r>
  </si>
  <si>
    <t>Transportsystemer - ressursfane</t>
  </si>
  <si>
    <t>Utslippsfaktorer og forutsetninger, UTGÅTT</t>
  </si>
  <si>
    <t>Vår 2022</t>
  </si>
  <si>
    <t>Nettleie</t>
  </si>
  <si>
    <t>Strømavgift</t>
  </si>
  <si>
    <t>NOK/kWh</t>
  </si>
  <si>
    <t>Drift</t>
  </si>
  <si>
    <t xml:space="preserve">Drift </t>
  </si>
  <si>
    <t>Januar 2023</t>
  </si>
  <si>
    <t>Oppdatert økonomiske-utslippsfaktorer med siste oppdaterte tall</t>
  </si>
  <si>
    <t>Forenklinger i KOSTRA regnskapsdata, irrelevante arter er fjernet
Lagt til ny fane "Investeringer - alle tjenestefunksjoner", resten av regnearket omhandler nå kun drift. 
Endret transportberegninger til å kunne inkludere alternative drivstoff
Fanen transportsystemer utgår, beholdt som ressursfane og for å vise historikk
Lagt til noen utslippsfaktorer for forbruksmateriell og kjemikalier.
Oppdatert økonomiske-utslippsfaktorer med siste oppdaterte tall</t>
  </si>
  <si>
    <t>Vår 2020</t>
  </si>
  <si>
    <t>Strømpris</t>
  </si>
  <si>
    <t>Strømpris inkl. nettleie og avgifter</t>
  </si>
  <si>
    <t xml:space="preserve">Investeringer </t>
  </si>
  <si>
    <t>Entreprisekostnader i bygge- og anleggsprosjekter</t>
  </si>
  <si>
    <t>Investeringer (kg CO2 ekv)</t>
  </si>
  <si>
    <t>Investeringer (1000 kr)</t>
  </si>
  <si>
    <t>Investeringer (enkelt klimagassregnskap)</t>
  </si>
  <si>
    <t>Her spesifiseres strømforbruk i kWh for transportsystemer. Hvis disse er fylt ut i NOK i KOSTRA-regnskapet må disse korrigeres med kroneverdier i celle H26 og J26. Strømpris kan også spesifiseres for å beregne NOK/kWh til KOSTRA-regnskapet.</t>
  </si>
  <si>
    <t xml:space="preserve">Elektrisitet i drift, transportnett, spesifisert i kWh </t>
  </si>
  <si>
    <t xml:space="preserve">I dette regnearket skal det registreres detaljer om energiforbruk fra ulike kilder, direkte utslipp (dersom beregninger foreligger) samt forbruk av kjemikalier til vann- og slambehandlingen på virksomhetens avløpsanlegg som grunnlag for en spesifikk klimafottavtrykk-beregning. 
Angi i tillegg kostnader for energi og kjemikalier i venstre kolonne, slik at hovedklimaregnskapet basert på regnskapsførte kostnader korrigeres og dobbelttelling unngås. Ved å trykke på plusstegnet over kolonne P kan man spesifisere transportteknologi og drivstoff for lastebil, båt og tog. Transportavstander bør beregnes begge veier hvis transportmiddelet kjører med tom last tilbake, ellers en vei. </t>
  </si>
  <si>
    <t>Mengde oppgis per mengde virkestoff uten vanninnhold. For kjemikalier blandet i vann, brukes konsentrasjon til å beregne transportvekt. For andre forbruksvarer skal denne stå på 100%</t>
  </si>
  <si>
    <t>Mengde oppgis per mengde virkestoff uten vanninnhold. NB! For kjemikalier blandet i vann, brukes konsentrasjon til å beregne transportvekt. For andre forbruksvarer skal denne stå på 100%</t>
  </si>
  <si>
    <t>Klimaregnskap for vann- og avløpsvirksomheter</t>
  </si>
  <si>
    <t>Øvrig bygg og anlegg drift</t>
  </si>
  <si>
    <t>Øvrig maskiner og utstyr drift</t>
  </si>
  <si>
    <t>Energiforbruk drift*</t>
  </si>
  <si>
    <t>dersom dette er registrert.  Dette skjemaet legges til grunn ved rapporteringen av regnskapet til bedreVANN.</t>
  </si>
  <si>
    <t>Avløpsbehandling - Direkteutslipp og biogass</t>
  </si>
  <si>
    <t>% CH4</t>
  </si>
  <si>
    <t>Distribusjon av biodrivstoffet til bruker</t>
  </si>
  <si>
    <t xml:space="preserve">Registrer regnskapsdata for de KOSTRA-funksjonene som virksomheten har. Registrerer driftskostnader på de opppgitte kostnadsartene. Alle virksomheter må registrere disse regnskapsdataene. Dersom virksomhetene også fyller ut de detaljerte input dataene for innsatsfaktorer på Vannbehandling, avløpsrensing og energi i vann og avløpsnettet, korrigeres hovedklimaregnskapet basert på KOSTRA regnskapet. Sjekk at kostnadene er korrekt bokført, slik at ev. korrigeringer i detaljert regnskap ikke fører til negativt fotavtrykk. Her registreres også fysiske data for strømforbruk i drift av vann og avløpsnettet. </t>
  </si>
  <si>
    <t xml:space="preserve">KOSTRA regnskapsdata: Det kan nå spesifiseres gjennomsnittlig strømpris basert på statistikk for å mer detaljert estimere energibruk utifra kostnader
Fanen "Investeringer - alle tjenestefunksjoner" er fjernet da denne ikke ble benyttet i 2022, rapportering av investeringer basert på entreprisekostnader for utbyggingsprosjekter er implementert i fanen "KOSTRA regnskapsdata".
Utslipp av lystgass og metan til resipient er tatt ut av kalkulatoren, grunnet stor usikkerhet i utslippsfaktor.
Endret lystgassutslipp fra nitrogenfjerning til å være 0,84 % av N-fjernet fra 3,1 % av N-fjernet. </t>
  </si>
  <si>
    <t>Direkte klimagassutslipp fra nitrogenrensing og ev. biogass*</t>
  </si>
  <si>
    <t>*Blir beregnet basert på registreringer i bedreVANN for kommuner og selskap som deltar</t>
  </si>
  <si>
    <t>Klimagevinst salg av energi som erstatter fossil energi 
kg CO₂ ekv./år*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</si>
</sst>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164" formatCode="0.0"/>
    <numFmt numFmtId="165" formatCode="0.0\ %"/>
    <numFmt numFmtId="166" formatCode="0.000"/>
    <numFmt numFmtId="167" formatCode="#,##0.0"/>
    <numFmt numFmtId="168" formatCode="_-* #,##0.00_-;\-* #,##0.00_-;_-* &quot;-&quot;_-;_-@_-"/>
  </numFmts>
  <fonts count="32"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vertAlign val="subscript"/>
      <sz val="11"/>
      <color theme="1"/>
      <name val="Calibri"/>
      <family val="2"/>
      <scheme val="minor"/>
    </font>
    <font>
      <u/>
      <sz val="11"/>
      <color theme="1"/>
      <name val="Calibri"/>
      <family val="2"/>
      <scheme val="minor"/>
    </font>
    <font>
      <u/>
      <vertAlign val="subscript"/>
      <sz val="11"/>
      <color theme="1"/>
      <name val="Calibri"/>
      <family val="2"/>
      <scheme val="minor"/>
    </font>
    <font>
      <sz val="11"/>
      <color rgb="FF006100"/>
      <name val="Calibri"/>
      <family val="2"/>
      <scheme val="minor"/>
    </font>
    <font>
      <sz val="11"/>
      <color theme="1"/>
      <name val="Calibri"/>
      <family val="2"/>
      <scheme val="minor"/>
    </font>
    <font>
      <sz val="10"/>
      <name val="Arial"/>
      <family val="2"/>
    </font>
    <font>
      <b/>
      <sz val="16"/>
      <color theme="1"/>
      <name val="Calibri"/>
      <family val="2"/>
      <scheme val="minor"/>
    </font>
    <font>
      <b/>
      <u/>
      <sz val="12"/>
      <color theme="1"/>
      <name val="Calibri"/>
      <family val="2"/>
      <scheme val="minor"/>
    </font>
    <font>
      <b/>
      <sz val="10"/>
      <name val="Arial"/>
      <family val="2"/>
    </font>
    <font>
      <b/>
      <sz val="18"/>
      <color theme="1"/>
      <name val="Calibri"/>
      <family val="2"/>
      <scheme val="minor"/>
    </font>
    <font>
      <u/>
      <sz val="11"/>
      <color theme="10"/>
      <name val="Calibri"/>
      <family val="2"/>
      <scheme val="minor"/>
    </font>
    <font>
      <b/>
      <u/>
      <sz val="11"/>
      <color theme="1"/>
      <name val="Calibri"/>
      <family val="2"/>
      <scheme val="minor"/>
    </font>
    <font>
      <b/>
      <sz val="12"/>
      <name val="Calibri"/>
      <family val="2"/>
      <scheme val="minor"/>
    </font>
    <font>
      <sz val="11"/>
      <name val="Calibri"/>
      <family val="2"/>
      <scheme val="minor"/>
    </font>
    <font>
      <b/>
      <sz val="11"/>
      <color rgb="FFFF0000"/>
      <name val="Calibri"/>
      <family val="2"/>
      <scheme val="minor"/>
    </font>
    <font>
      <sz val="12"/>
      <color theme="1"/>
      <name val="Calibri"/>
      <family val="2"/>
      <scheme val="minor"/>
    </font>
    <font>
      <u/>
      <sz val="12"/>
      <color theme="1"/>
      <name val="Calibri"/>
      <family val="2"/>
      <scheme val="minor"/>
    </font>
    <font>
      <b/>
      <sz val="20"/>
      <color theme="1"/>
      <name val="Calibri"/>
      <family val="2"/>
      <scheme val="minor"/>
    </font>
    <font>
      <b/>
      <sz val="11"/>
      <name val="Calibri"/>
      <family val="2"/>
      <scheme val="minor"/>
    </font>
    <font>
      <i/>
      <sz val="10"/>
      <color theme="1"/>
      <name val="Calibri"/>
      <family val="2"/>
      <scheme val="minor"/>
    </font>
    <font>
      <i/>
      <sz val="11"/>
      <color theme="1"/>
      <name val="Calibri"/>
      <family val="2"/>
      <scheme val="minor"/>
    </font>
    <font>
      <b/>
      <sz val="18"/>
      <name val="Calibri"/>
      <family val="2"/>
      <scheme val="minor"/>
    </font>
    <font>
      <b/>
      <sz val="14"/>
      <name val="Calibri"/>
      <family val="2"/>
      <scheme val="minor"/>
    </font>
    <font>
      <b/>
      <sz val="16"/>
      <name val="Calibri"/>
      <family val="2"/>
      <scheme val="minor"/>
    </font>
    <font>
      <sz val="10"/>
      <color theme="1"/>
      <name val="Calibri"/>
      <family val="2"/>
      <scheme val="minor"/>
    </font>
    <font>
      <b/>
      <sz val="9"/>
      <color indexed="81"/>
      <name val="Tahoma"/>
      <family val="2"/>
    </font>
  </fonts>
  <fills count="25">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rgb="FFC6EFCE"/>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0"/>
        <bgColor indexed="64"/>
      </patternFill>
    </fill>
  </fills>
  <borders count="82">
    <border>
      <left/>
      <right/>
      <top/>
      <bottom/>
      <diagonal/>
    </border>
    <border>
      <left/>
      <right/>
      <top style="thin">
        <color theme="4" tint="0.39997558519241921"/>
      </top>
      <bottom style="thin">
        <color theme="4" tint="0.3999755851924192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5">
    <xf numFmtId="0" fontId="0" fillId="0" borderId="0"/>
    <xf numFmtId="0" fontId="9" fillId="4" borderId="0" applyNumberFormat="0" applyBorder="0" applyAlignment="0" applyProtection="0"/>
    <xf numFmtId="9" fontId="10" fillId="0" borderId="0" applyFont="0" applyFill="0" applyBorder="0" applyAlignment="0" applyProtection="0"/>
    <xf numFmtId="0" fontId="16" fillId="0" borderId="0" applyNumberFormat="0" applyFill="0" applyBorder="0" applyAlignment="0" applyProtection="0"/>
    <xf numFmtId="0" fontId="30" fillId="0" borderId="0"/>
  </cellStyleXfs>
  <cellXfs count="1280">
    <xf numFmtId="0" fontId="0" fillId="0" borderId="0" xfId="0"/>
    <xf numFmtId="0" fontId="16" fillId="0" borderId="0" xfId="3"/>
    <xf numFmtId="0" fontId="1" fillId="2" borderId="1" xfId="0" applyFont="1" applyFill="1" applyBorder="1"/>
    <xf numFmtId="0" fontId="0" fillId="3" borderId="1" xfId="0" applyFill="1" applyBorder="1"/>
    <xf numFmtId="0" fontId="0" fillId="0" borderId="1" xfId="0" applyBorder="1"/>
    <xf numFmtId="1" fontId="0" fillId="0" borderId="0" xfId="0" applyNumberFormat="1"/>
    <xf numFmtId="164" fontId="0" fillId="0" borderId="0" xfId="0" applyNumberFormat="1"/>
    <xf numFmtId="164" fontId="2" fillId="0" borderId="0" xfId="0" applyNumberFormat="1" applyFont="1"/>
    <xf numFmtId="0" fontId="3" fillId="0" borderId="0" xfId="0" applyFont="1"/>
    <xf numFmtId="2" fontId="0" fillId="0" borderId="0" xfId="0" applyNumberFormat="1"/>
    <xf numFmtId="9" fontId="0" fillId="0" borderId="0" xfId="0" applyNumberFormat="1"/>
    <xf numFmtId="10" fontId="0" fillId="0" borderId="0" xfId="0" applyNumberFormat="1"/>
    <xf numFmtId="165" fontId="0" fillId="0" borderId="0" xfId="0" applyNumberFormat="1"/>
    <xf numFmtId="166" fontId="0" fillId="0" borderId="0" xfId="0" applyNumberFormat="1"/>
    <xf numFmtId="0" fontId="3" fillId="6" borderId="0" xfId="0" applyFont="1" applyFill="1"/>
    <xf numFmtId="0" fontId="0" fillId="6" borderId="4" xfId="0" applyFill="1" applyBorder="1"/>
    <xf numFmtId="0" fontId="0" fillId="6" borderId="0" xfId="0" applyFill="1"/>
    <xf numFmtId="0" fontId="3" fillId="6" borderId="2" xfId="0" applyFont="1" applyFill="1" applyBorder="1"/>
    <xf numFmtId="0" fontId="0" fillId="6" borderId="5" xfId="0" applyFill="1" applyBorder="1"/>
    <xf numFmtId="0" fontId="0" fillId="6" borderId="8" xfId="0" applyFill="1" applyBorder="1"/>
    <xf numFmtId="0" fontId="0" fillId="6" borderId="3" xfId="0" applyFill="1" applyBorder="1"/>
    <xf numFmtId="0" fontId="0" fillId="5" borderId="14" xfId="0" applyFill="1" applyBorder="1"/>
    <xf numFmtId="0" fontId="0" fillId="6" borderId="11" xfId="0" applyFill="1" applyBorder="1"/>
    <xf numFmtId="0" fontId="0" fillId="6" borderId="13" xfId="0" applyFill="1" applyBorder="1"/>
    <xf numFmtId="0" fontId="5" fillId="6" borderId="0" xfId="0" applyFont="1" applyFill="1"/>
    <xf numFmtId="0" fontId="0" fillId="6" borderId="18" xfId="0" applyFill="1" applyBorder="1"/>
    <xf numFmtId="0" fontId="0" fillId="5" borderId="5" xfId="0" applyFill="1" applyBorder="1"/>
    <xf numFmtId="0" fontId="0" fillId="6" borderId="6" xfId="0" applyFill="1" applyBorder="1"/>
    <xf numFmtId="0" fontId="0" fillId="5" borderId="19" xfId="0" applyFill="1" applyBorder="1"/>
    <xf numFmtId="0" fontId="0" fillId="5" borderId="7" xfId="0" applyFill="1" applyBorder="1"/>
    <xf numFmtId="0" fontId="5" fillId="6" borderId="20" xfId="0" applyFont="1" applyFill="1" applyBorder="1"/>
    <xf numFmtId="0" fontId="0" fillId="6" borderId="21" xfId="0" applyFill="1" applyBorder="1"/>
    <xf numFmtId="0" fontId="0" fillId="6" borderId="23" xfId="0" applyFill="1" applyBorder="1"/>
    <xf numFmtId="0" fontId="0" fillId="5" borderId="23" xfId="0" applyFill="1" applyBorder="1"/>
    <xf numFmtId="0" fontId="0" fillId="6" borderId="24" xfId="0" applyFill="1" applyBorder="1"/>
    <xf numFmtId="0" fontId="0" fillId="6" borderId="25" xfId="0" applyFill="1" applyBorder="1"/>
    <xf numFmtId="0" fontId="0" fillId="6" borderId="7" xfId="0" applyFill="1" applyBorder="1"/>
    <xf numFmtId="0" fontId="0" fillId="5" borderId="29" xfId="0" applyFill="1" applyBorder="1"/>
    <xf numFmtId="0" fontId="3" fillId="6" borderId="8" xfId="0" applyFont="1" applyFill="1" applyBorder="1"/>
    <xf numFmtId="0" fontId="3" fillId="6" borderId="3" xfId="0" applyFont="1" applyFill="1" applyBorder="1"/>
    <xf numFmtId="0" fontId="0" fillId="6" borderId="30" xfId="0" applyFill="1" applyBorder="1"/>
    <xf numFmtId="0" fontId="9" fillId="5" borderId="0" xfId="1" applyFill="1"/>
    <xf numFmtId="0" fontId="9" fillId="5" borderId="30" xfId="1" applyFill="1" applyBorder="1"/>
    <xf numFmtId="0" fontId="9" fillId="5" borderId="0" xfId="1" applyFill="1" applyAlignment="1">
      <alignment horizontal="right"/>
    </xf>
    <xf numFmtId="0" fontId="0" fillId="6" borderId="20" xfId="0" applyFill="1" applyBorder="1"/>
    <xf numFmtId="0" fontId="3" fillId="6" borderId="21" xfId="0" applyFont="1" applyFill="1" applyBorder="1"/>
    <xf numFmtId="0" fontId="3" fillId="6" borderId="18" xfId="0" applyFont="1" applyFill="1" applyBorder="1"/>
    <xf numFmtId="0" fontId="9" fillId="5" borderId="12" xfId="1" applyFill="1" applyBorder="1"/>
    <xf numFmtId="0" fontId="9" fillId="5" borderId="31" xfId="1" applyFill="1" applyBorder="1"/>
    <xf numFmtId="0" fontId="0" fillId="6" borderId="32" xfId="0" applyFill="1" applyBorder="1"/>
    <xf numFmtId="0" fontId="0" fillId="6" borderId="33" xfId="0" applyFill="1" applyBorder="1"/>
    <xf numFmtId="0" fontId="3" fillId="6" borderId="20" xfId="0" applyFont="1" applyFill="1" applyBorder="1"/>
    <xf numFmtId="0" fontId="3" fillId="6" borderId="34" xfId="0" applyFont="1" applyFill="1" applyBorder="1"/>
    <xf numFmtId="10" fontId="9" fillId="5" borderId="12" xfId="1" applyNumberFormat="1" applyFill="1" applyBorder="1"/>
    <xf numFmtId="9" fontId="0" fillId="6" borderId="0" xfId="0" applyNumberFormat="1" applyFill="1"/>
    <xf numFmtId="9" fontId="0" fillId="6" borderId="28" xfId="2" applyFont="1" applyFill="1" applyBorder="1"/>
    <xf numFmtId="1" fontId="0" fillId="6" borderId="30" xfId="0" applyNumberFormat="1" applyFill="1" applyBorder="1"/>
    <xf numFmtId="0" fontId="0" fillId="6" borderId="31" xfId="0" applyFill="1" applyBorder="1"/>
    <xf numFmtId="0" fontId="0" fillId="6" borderId="29" xfId="0" applyFill="1" applyBorder="1"/>
    <xf numFmtId="0" fontId="0" fillId="5" borderId="17" xfId="0" applyFill="1" applyBorder="1" applyAlignment="1">
      <alignment horizontal="right"/>
    </xf>
    <xf numFmtId="0" fontId="0" fillId="6" borderId="26" xfId="0" applyFill="1" applyBorder="1"/>
    <xf numFmtId="1" fontId="0" fillId="6" borderId="11" xfId="0" applyNumberFormat="1" applyFill="1" applyBorder="1"/>
    <xf numFmtId="0" fontId="0" fillId="6" borderId="36" xfId="0" applyFill="1" applyBorder="1"/>
    <xf numFmtId="0" fontId="0" fillId="6" borderId="22" xfId="0" applyFill="1" applyBorder="1"/>
    <xf numFmtId="0" fontId="0" fillId="6" borderId="37" xfId="0" applyFill="1" applyBorder="1"/>
    <xf numFmtId="164" fontId="0" fillId="6" borderId="0" xfId="0" applyNumberFormat="1" applyFill="1"/>
    <xf numFmtId="0" fontId="0" fillId="6" borderId="2" xfId="0" applyFill="1" applyBorder="1"/>
    <xf numFmtId="0" fontId="0" fillId="6" borderId="38" xfId="0" applyFill="1" applyBorder="1"/>
    <xf numFmtId="0" fontId="3" fillId="6" borderId="46" xfId="0" applyFont="1" applyFill="1" applyBorder="1"/>
    <xf numFmtId="0" fontId="0" fillId="6" borderId="43" xfId="0" applyFill="1" applyBorder="1"/>
    <xf numFmtId="0" fontId="4" fillId="6" borderId="0" xfId="0" applyFont="1" applyFill="1"/>
    <xf numFmtId="0" fontId="3" fillId="6" borderId="12" xfId="0" applyFont="1" applyFill="1" applyBorder="1"/>
    <xf numFmtId="0" fontId="3" fillId="6" borderId="31" xfId="0" applyFont="1" applyFill="1" applyBorder="1"/>
    <xf numFmtId="0" fontId="7" fillId="6" borderId="20" xfId="0" applyFont="1" applyFill="1" applyBorder="1"/>
    <xf numFmtId="0" fontId="0" fillId="6" borderId="50" xfId="0" applyFill="1" applyBorder="1"/>
    <xf numFmtId="0" fontId="3" fillId="6" borderId="38" xfId="0" applyFont="1" applyFill="1" applyBorder="1"/>
    <xf numFmtId="0" fontId="0" fillId="6" borderId="53" xfId="0" applyFill="1" applyBorder="1"/>
    <xf numFmtId="0" fontId="0" fillId="5" borderId="31" xfId="0" applyFill="1" applyBorder="1"/>
    <xf numFmtId="0" fontId="0" fillId="6" borderId="34" xfId="0" applyFill="1" applyBorder="1"/>
    <xf numFmtId="0" fontId="0" fillId="5" borderId="12" xfId="0" applyFill="1" applyBorder="1"/>
    <xf numFmtId="0" fontId="4" fillId="6" borderId="20" xfId="0" applyFont="1" applyFill="1" applyBorder="1"/>
    <xf numFmtId="1" fontId="0" fillId="6" borderId="0" xfId="0" applyNumberFormat="1" applyFill="1"/>
    <xf numFmtId="3" fontId="0" fillId="10" borderId="28" xfId="0" applyNumberFormat="1" applyFill="1" applyBorder="1"/>
    <xf numFmtId="3" fontId="0" fillId="10" borderId="29" xfId="0" applyNumberFormat="1" applyFill="1" applyBorder="1"/>
    <xf numFmtId="3" fontId="0" fillId="10" borderId="12" xfId="0" applyNumberFormat="1" applyFill="1" applyBorder="1"/>
    <xf numFmtId="3" fontId="0" fillId="10" borderId="0" xfId="0" applyNumberFormat="1" applyFill="1"/>
    <xf numFmtId="41" fontId="0" fillId="10" borderId="12" xfId="0" applyNumberFormat="1" applyFill="1" applyBorder="1"/>
    <xf numFmtId="41" fontId="0" fillId="10" borderId="0" xfId="0" applyNumberFormat="1" applyFill="1"/>
    <xf numFmtId="0" fontId="7" fillId="6" borderId="25" xfId="0" applyFont="1" applyFill="1" applyBorder="1"/>
    <xf numFmtId="41" fontId="0" fillId="6" borderId="28" xfId="0" applyNumberFormat="1" applyFill="1" applyBorder="1"/>
    <xf numFmtId="41" fontId="0" fillId="10" borderId="28" xfId="0" applyNumberFormat="1" applyFill="1" applyBorder="1"/>
    <xf numFmtId="41" fontId="0" fillId="10" borderId="39" xfId="0" applyNumberFormat="1" applyFill="1" applyBorder="1"/>
    <xf numFmtId="0" fontId="0" fillId="6" borderId="54" xfId="0" applyFill="1" applyBorder="1"/>
    <xf numFmtId="0" fontId="15" fillId="6" borderId="0" xfId="0" applyFont="1" applyFill="1"/>
    <xf numFmtId="166" fontId="0" fillId="6" borderId="0" xfId="0" applyNumberFormat="1" applyFill="1"/>
    <xf numFmtId="166" fontId="0" fillId="6" borderId="30" xfId="0" applyNumberFormat="1" applyFill="1" applyBorder="1"/>
    <xf numFmtId="0" fontId="0" fillId="5" borderId="0" xfId="0" applyFill="1"/>
    <xf numFmtId="0" fontId="0" fillId="5" borderId="30" xfId="0" applyFill="1" applyBorder="1"/>
    <xf numFmtId="0" fontId="16" fillId="6" borderId="0" xfId="3" applyFill="1"/>
    <xf numFmtId="1" fontId="0" fillId="6" borderId="28" xfId="2" applyNumberFormat="1" applyFont="1" applyFill="1" applyBorder="1"/>
    <xf numFmtId="0" fontId="0" fillId="5" borderId="6" xfId="0" applyFill="1" applyBorder="1"/>
    <xf numFmtId="0" fontId="0" fillId="5" borderId="25" xfId="0" applyFill="1" applyBorder="1"/>
    <xf numFmtId="0" fontId="0" fillId="5" borderId="59" xfId="0" applyFill="1" applyBorder="1"/>
    <xf numFmtId="0" fontId="0" fillId="5" borderId="61" xfId="0" applyFill="1" applyBorder="1"/>
    <xf numFmtId="0" fontId="0" fillId="5" borderId="62" xfId="0" applyFill="1" applyBorder="1"/>
    <xf numFmtId="0" fontId="0" fillId="6" borderId="55" xfId="0" applyFill="1" applyBorder="1"/>
    <xf numFmtId="41" fontId="0" fillId="10" borderId="38" xfId="0" applyNumberFormat="1" applyFill="1" applyBorder="1"/>
    <xf numFmtId="3" fontId="0" fillId="6" borderId="0" xfId="0" applyNumberFormat="1" applyFill="1"/>
    <xf numFmtId="0" fontId="0" fillId="6" borderId="59" xfId="0" applyFill="1" applyBorder="1"/>
    <xf numFmtId="1" fontId="0" fillId="6" borderId="2" xfId="0" applyNumberFormat="1" applyFill="1" applyBorder="1"/>
    <xf numFmtId="0" fontId="3" fillId="6" borderId="25" xfId="0" applyFont="1" applyFill="1" applyBorder="1"/>
    <xf numFmtId="0" fontId="0" fillId="6" borderId="58" xfId="0" applyFill="1" applyBorder="1"/>
    <xf numFmtId="0" fontId="0" fillId="6" borderId="60" xfId="0" applyFill="1" applyBorder="1"/>
    <xf numFmtId="41" fontId="0" fillId="10" borderId="13" xfId="0" applyNumberFormat="1" applyFill="1" applyBorder="1"/>
    <xf numFmtId="9" fontId="0" fillId="6" borderId="0" xfId="2" applyFont="1" applyFill="1"/>
    <xf numFmtId="0" fontId="0" fillId="6" borderId="12" xfId="0" applyFill="1" applyBorder="1"/>
    <xf numFmtId="1" fontId="0" fillId="6" borderId="7" xfId="0" applyNumberFormat="1" applyFill="1" applyBorder="1"/>
    <xf numFmtId="1" fontId="0" fillId="6" borderId="5" xfId="0" applyNumberFormat="1" applyFill="1" applyBorder="1"/>
    <xf numFmtId="1" fontId="0" fillId="6" borderId="4" xfId="0" applyNumberFormat="1" applyFill="1" applyBorder="1"/>
    <xf numFmtId="0" fontId="0" fillId="6" borderId="0" xfId="0" applyFill="1" applyAlignment="1">
      <alignment vertical="top" wrapText="1"/>
    </xf>
    <xf numFmtId="9" fontId="0" fillId="6" borderId="5" xfId="0" applyNumberFormat="1" applyFill="1" applyBorder="1"/>
    <xf numFmtId="10" fontId="0" fillId="6" borderId="5" xfId="0" applyNumberFormat="1" applyFill="1" applyBorder="1"/>
    <xf numFmtId="2" fontId="0" fillId="6" borderId="5" xfId="0" applyNumberFormat="1" applyFill="1" applyBorder="1"/>
    <xf numFmtId="165" fontId="0" fillId="6" borderId="5" xfId="0" applyNumberFormat="1" applyFill="1" applyBorder="1"/>
    <xf numFmtId="10" fontId="0" fillId="6" borderId="7" xfId="0" applyNumberFormat="1" applyFill="1" applyBorder="1"/>
    <xf numFmtId="10" fontId="0" fillId="6" borderId="0" xfId="2" applyNumberFormat="1" applyFont="1" applyFill="1"/>
    <xf numFmtId="165" fontId="0" fillId="6" borderId="7" xfId="0" applyNumberFormat="1" applyFill="1" applyBorder="1"/>
    <xf numFmtId="166" fontId="0" fillId="6" borderId="4" xfId="0" applyNumberFormat="1" applyFill="1" applyBorder="1"/>
    <xf numFmtId="164" fontId="0" fillId="6" borderId="6" xfId="0" applyNumberFormat="1" applyFill="1" applyBorder="1"/>
    <xf numFmtId="164" fontId="0" fillId="6" borderId="7" xfId="0" applyNumberFormat="1" applyFill="1" applyBorder="1"/>
    <xf numFmtId="41" fontId="0" fillId="17" borderId="5" xfId="0" applyNumberFormat="1" applyFill="1" applyBorder="1"/>
    <xf numFmtId="0" fontId="3" fillId="6" borderId="59" xfId="0" applyFont="1" applyFill="1" applyBorder="1"/>
    <xf numFmtId="41" fontId="0" fillId="10" borderId="4" xfId="0" applyNumberFormat="1" applyFill="1" applyBorder="1"/>
    <xf numFmtId="3" fontId="0" fillId="10" borderId="4" xfId="0" applyNumberFormat="1" applyFill="1" applyBorder="1"/>
    <xf numFmtId="3" fontId="0" fillId="10" borderId="5" xfId="0" applyNumberFormat="1" applyFill="1" applyBorder="1"/>
    <xf numFmtId="3" fontId="0" fillId="10" borderId="6" xfId="0" applyNumberFormat="1" applyFill="1" applyBorder="1"/>
    <xf numFmtId="3" fontId="0" fillId="10" borderId="7" xfId="0" applyNumberFormat="1" applyFill="1" applyBorder="1"/>
    <xf numFmtId="0" fontId="0" fillId="21" borderId="2" xfId="0" applyFill="1" applyBorder="1"/>
    <xf numFmtId="0" fontId="0" fillId="21" borderId="53" xfId="0" applyFill="1" applyBorder="1"/>
    <xf numFmtId="0" fontId="0" fillId="21" borderId="25" xfId="0" applyFill="1" applyBorder="1"/>
    <xf numFmtId="0" fontId="0" fillId="21" borderId="58" xfId="0" applyFill="1" applyBorder="1"/>
    <xf numFmtId="0" fontId="0" fillId="21" borderId="59" xfId="0" applyFill="1" applyBorder="1"/>
    <xf numFmtId="0" fontId="0" fillId="21" borderId="60" xfId="0" applyFill="1" applyBorder="1"/>
    <xf numFmtId="0" fontId="0" fillId="21" borderId="23" xfId="0" applyFill="1" applyBorder="1"/>
    <xf numFmtId="0" fontId="0" fillId="21" borderId="4" xfId="0" applyFill="1" applyBorder="1"/>
    <xf numFmtId="1" fontId="0" fillId="21" borderId="12" xfId="0" applyNumberFormat="1" applyFill="1" applyBorder="1"/>
    <xf numFmtId="1" fontId="0" fillId="21" borderId="0" xfId="0" applyNumberFormat="1" applyFill="1"/>
    <xf numFmtId="0" fontId="0" fillId="21" borderId="12" xfId="0" applyFill="1" applyBorder="1"/>
    <xf numFmtId="0" fontId="0" fillId="21" borderId="5" xfId="0" applyFill="1" applyBorder="1"/>
    <xf numFmtId="0" fontId="0" fillId="21" borderId="6" xfId="0" applyFill="1" applyBorder="1"/>
    <xf numFmtId="1" fontId="0" fillId="21" borderId="31" xfId="0" applyNumberFormat="1" applyFill="1" applyBorder="1"/>
    <xf numFmtId="1" fontId="0" fillId="21" borderId="30" xfId="0" applyNumberFormat="1" applyFill="1" applyBorder="1"/>
    <xf numFmtId="0" fontId="0" fillId="21" borderId="31" xfId="0" applyFill="1" applyBorder="1"/>
    <xf numFmtId="0" fontId="0" fillId="21" borderId="30" xfId="0" applyFill="1" applyBorder="1"/>
    <xf numFmtId="1" fontId="0" fillId="21" borderId="7" xfId="0" applyNumberFormat="1" applyFill="1" applyBorder="1"/>
    <xf numFmtId="0" fontId="0" fillId="21" borderId="8" xfId="0" applyFill="1" applyBorder="1"/>
    <xf numFmtId="0" fontId="0" fillId="21" borderId="3" xfId="0" applyFill="1" applyBorder="1"/>
    <xf numFmtId="0" fontId="0" fillId="21" borderId="0" xfId="0" applyFill="1"/>
    <xf numFmtId="1" fontId="0" fillId="21" borderId="5" xfId="0" applyNumberFormat="1" applyFill="1" applyBorder="1"/>
    <xf numFmtId="0" fontId="0" fillId="21" borderId="7" xfId="0" applyFill="1" applyBorder="1"/>
    <xf numFmtId="1" fontId="0" fillId="21" borderId="4" xfId="0" applyNumberFormat="1" applyFill="1" applyBorder="1"/>
    <xf numFmtId="1" fontId="0" fillId="21" borderId="6" xfId="0" applyNumberFormat="1" applyFill="1" applyBorder="1"/>
    <xf numFmtId="0" fontId="3" fillId="21" borderId="20" xfId="0" applyFont="1" applyFill="1" applyBorder="1"/>
    <xf numFmtId="0" fontId="0" fillId="21" borderId="34" xfId="0" applyFill="1" applyBorder="1"/>
    <xf numFmtId="0" fontId="0" fillId="21" borderId="33" xfId="0" applyFill="1" applyBorder="1"/>
    <xf numFmtId="0" fontId="0" fillId="21" borderId="18" xfId="0" applyFill="1" applyBorder="1"/>
    <xf numFmtId="0" fontId="0" fillId="21" borderId="13" xfId="0" applyFill="1" applyBorder="1"/>
    <xf numFmtId="0" fontId="0" fillId="21" borderId="32" xfId="0" applyFill="1" applyBorder="1"/>
    <xf numFmtId="3" fontId="0" fillId="10" borderId="40" xfId="0" applyNumberFormat="1" applyFill="1" applyBorder="1"/>
    <xf numFmtId="3" fontId="0" fillId="10" borderId="51" xfId="0" applyNumberFormat="1" applyFill="1" applyBorder="1"/>
    <xf numFmtId="0" fontId="0" fillId="6" borderId="52" xfId="0" applyFill="1" applyBorder="1"/>
    <xf numFmtId="41" fontId="0" fillId="10" borderId="40" xfId="0" applyNumberFormat="1" applyFill="1" applyBorder="1"/>
    <xf numFmtId="41" fontId="0" fillId="10" borderId="51" xfId="0" applyNumberFormat="1" applyFill="1" applyBorder="1"/>
    <xf numFmtId="41" fontId="0" fillId="10" borderId="50" xfId="0" applyNumberFormat="1" applyFill="1" applyBorder="1"/>
    <xf numFmtId="3" fontId="0" fillId="10" borderId="55" xfId="0" applyNumberFormat="1" applyFill="1" applyBorder="1"/>
    <xf numFmtId="3" fontId="0" fillId="10" borderId="25" xfId="0" applyNumberFormat="1" applyFill="1" applyBorder="1"/>
    <xf numFmtId="3" fontId="0" fillId="10" borderId="23" xfId="0" applyNumberFormat="1" applyFill="1" applyBorder="1"/>
    <xf numFmtId="0" fontId="0" fillId="6" borderId="28" xfId="0" applyFill="1" applyBorder="1"/>
    <xf numFmtId="0" fontId="0" fillId="6" borderId="39" xfId="0" applyFill="1" applyBorder="1"/>
    <xf numFmtId="0" fontId="3" fillId="6" borderId="16" xfId="0" applyFont="1" applyFill="1" applyBorder="1"/>
    <xf numFmtId="0" fontId="0" fillId="6" borderId="40" xfId="0" applyFill="1" applyBorder="1"/>
    <xf numFmtId="41" fontId="0" fillId="10" borderId="65" xfId="0" applyNumberFormat="1" applyFill="1" applyBorder="1"/>
    <xf numFmtId="41" fontId="0" fillId="6" borderId="39" xfId="0" applyNumberFormat="1" applyFill="1" applyBorder="1"/>
    <xf numFmtId="0" fontId="3" fillId="21" borderId="54" xfId="0" applyFont="1" applyFill="1" applyBorder="1"/>
    <xf numFmtId="0" fontId="16" fillId="21" borderId="4" xfId="3" applyFill="1" applyBorder="1"/>
    <xf numFmtId="0" fontId="3" fillId="21" borderId="26" xfId="0" applyFont="1" applyFill="1" applyBorder="1"/>
    <xf numFmtId="0" fontId="0" fillId="21" borderId="27" xfId="0" applyFill="1" applyBorder="1"/>
    <xf numFmtId="0" fontId="0" fillId="21" borderId="55" xfId="0" applyFill="1" applyBorder="1"/>
    <xf numFmtId="0" fontId="16" fillId="21" borderId="6" xfId="3" applyFill="1" applyBorder="1"/>
    <xf numFmtId="0" fontId="0" fillId="21" borderId="29" xfId="0" applyFill="1" applyBorder="1" applyAlignment="1">
      <alignment horizontal="left" vertical="top" wrapText="1"/>
    </xf>
    <xf numFmtId="2" fontId="9" fillId="5" borderId="10" xfId="1" applyNumberFormat="1" applyFill="1" applyBorder="1"/>
    <xf numFmtId="0" fontId="0" fillId="6" borderId="18" xfId="0" applyFill="1" applyBorder="1" applyAlignment="1">
      <alignment horizontal="right"/>
    </xf>
    <xf numFmtId="9" fontId="0" fillId="6" borderId="30" xfId="0" applyNumberFormat="1" applyFill="1" applyBorder="1"/>
    <xf numFmtId="0" fontId="0" fillId="21" borderId="21" xfId="0" applyFill="1" applyBorder="1"/>
    <xf numFmtId="0" fontId="2" fillId="21" borderId="5" xfId="0" applyFont="1" applyFill="1" applyBorder="1"/>
    <xf numFmtId="0" fontId="2" fillId="21" borderId="31" xfId="0" applyFont="1" applyFill="1" applyBorder="1"/>
    <xf numFmtId="0" fontId="2" fillId="21" borderId="30" xfId="0" applyFont="1" applyFill="1" applyBorder="1"/>
    <xf numFmtId="1" fontId="19" fillId="21" borderId="12" xfId="0" applyNumberFormat="1" applyFont="1" applyFill="1" applyBorder="1"/>
    <xf numFmtId="1" fontId="19" fillId="21" borderId="0" xfId="0" applyNumberFormat="1" applyFont="1" applyFill="1"/>
    <xf numFmtId="1" fontId="19" fillId="21" borderId="30" xfId="0" applyNumberFormat="1" applyFont="1" applyFill="1" applyBorder="1"/>
    <xf numFmtId="1" fontId="19" fillId="21" borderId="7" xfId="0" applyNumberFormat="1" applyFont="1" applyFill="1" applyBorder="1"/>
    <xf numFmtId="0" fontId="19" fillId="21" borderId="5" xfId="0" applyFont="1" applyFill="1" applyBorder="1"/>
    <xf numFmtId="0" fontId="19" fillId="21" borderId="30" xfId="0" applyFont="1" applyFill="1" applyBorder="1"/>
    <xf numFmtId="3" fontId="0" fillId="10" borderId="50" xfId="0" applyNumberFormat="1" applyFill="1" applyBorder="1"/>
    <xf numFmtId="3" fontId="0" fillId="6" borderId="4" xfId="0" applyNumberFormat="1" applyFill="1" applyBorder="1"/>
    <xf numFmtId="2" fontId="0" fillId="21" borderId="12" xfId="0" applyNumberFormat="1" applyFill="1" applyBorder="1"/>
    <xf numFmtId="2" fontId="0" fillId="21" borderId="31" xfId="0" applyNumberFormat="1" applyFill="1" applyBorder="1"/>
    <xf numFmtId="2" fontId="0" fillId="21" borderId="13" xfId="0" applyNumberFormat="1" applyFill="1" applyBorder="1"/>
    <xf numFmtId="2" fontId="0" fillId="21" borderId="32" xfId="0" applyNumberFormat="1" applyFill="1" applyBorder="1"/>
    <xf numFmtId="1" fontId="0" fillId="21" borderId="10" xfId="0" applyNumberFormat="1" applyFill="1" applyBorder="1"/>
    <xf numFmtId="0" fontId="0" fillId="5" borderId="24" xfId="0" applyFill="1" applyBorder="1"/>
    <xf numFmtId="0" fontId="0" fillId="6" borderId="0" xfId="0" applyFill="1" applyAlignment="1">
      <alignment horizontal="center"/>
    </xf>
    <xf numFmtId="0" fontId="0" fillId="6" borderId="4" xfId="0" applyFill="1" applyBorder="1" applyAlignment="1">
      <alignment horizontal="center"/>
    </xf>
    <xf numFmtId="41" fontId="0" fillId="10" borderId="59" xfId="0" applyNumberFormat="1" applyFill="1" applyBorder="1"/>
    <xf numFmtId="41" fontId="0" fillId="10" borderId="30" xfId="0" applyNumberFormat="1" applyFill="1" applyBorder="1"/>
    <xf numFmtId="0" fontId="0" fillId="21" borderId="37" xfId="0" applyFill="1" applyBorder="1"/>
    <xf numFmtId="0" fontId="0" fillId="6" borderId="20" xfId="0" applyFill="1" applyBorder="1" applyAlignment="1">
      <alignment horizontal="right"/>
    </xf>
    <xf numFmtId="0" fontId="4" fillId="22" borderId="20" xfId="0" applyFont="1" applyFill="1" applyBorder="1"/>
    <xf numFmtId="0" fontId="0" fillId="22" borderId="34" xfId="0" applyFill="1" applyBorder="1"/>
    <xf numFmtId="0" fontId="0" fillId="22" borderId="18" xfId="0" applyFill="1" applyBorder="1"/>
    <xf numFmtId="0" fontId="0" fillId="22" borderId="6" xfId="0" applyFill="1" applyBorder="1"/>
    <xf numFmtId="0" fontId="0" fillId="22" borderId="7" xfId="0" applyFill="1" applyBorder="1"/>
    <xf numFmtId="0" fontId="3" fillId="23" borderId="2" xfId="0" applyFont="1" applyFill="1" applyBorder="1" applyAlignment="1">
      <alignment horizontal="right" vertical="top" wrapText="1"/>
    </xf>
    <xf numFmtId="0" fontId="3" fillId="23" borderId="6" xfId="0" applyFont="1" applyFill="1" applyBorder="1" applyAlignment="1">
      <alignment horizontal="right" vertical="top" wrapText="1"/>
    </xf>
    <xf numFmtId="0" fontId="0" fillId="6" borderId="0" xfId="0" applyFill="1" applyAlignment="1">
      <alignment horizontal="right" vertical="top" wrapText="1"/>
    </xf>
    <xf numFmtId="0" fontId="3" fillId="6" borderId="41" xfId="0" applyFont="1" applyFill="1" applyBorder="1"/>
    <xf numFmtId="0" fontId="0" fillId="21" borderId="9" xfId="0" applyFill="1" applyBorder="1" applyAlignment="1">
      <alignment horizontal="left" vertical="top" wrapText="1"/>
    </xf>
    <xf numFmtId="0" fontId="3" fillId="21" borderId="9" xfId="0" applyFont="1" applyFill="1" applyBorder="1" applyAlignment="1">
      <alignment horizontal="left" vertical="top" wrapText="1"/>
    </xf>
    <xf numFmtId="0" fontId="0" fillId="6" borderId="0" xfId="0" applyFill="1" applyBorder="1"/>
    <xf numFmtId="0" fontId="3" fillId="6" borderId="0" xfId="0" applyFont="1" applyFill="1" applyBorder="1"/>
    <xf numFmtId="0" fontId="3" fillId="6" borderId="17" xfId="0" applyFont="1" applyFill="1" applyBorder="1"/>
    <xf numFmtId="0" fontId="3" fillId="6" borderId="4" xfId="0" applyFont="1" applyFill="1" applyBorder="1"/>
    <xf numFmtId="0" fontId="3" fillId="6" borderId="6" xfId="0" applyFont="1" applyFill="1" applyBorder="1"/>
    <xf numFmtId="0" fontId="3" fillId="6" borderId="48" xfId="0" applyFont="1" applyFill="1" applyBorder="1"/>
    <xf numFmtId="3" fontId="0" fillId="5" borderId="14" xfId="0" applyNumberFormat="1" applyFill="1" applyBorder="1"/>
    <xf numFmtId="0" fontId="3" fillId="6" borderId="55" xfId="0" applyFont="1" applyFill="1" applyBorder="1"/>
    <xf numFmtId="0" fontId="19" fillId="21" borderId="9" xfId="0" applyFont="1" applyFill="1" applyBorder="1" applyAlignment="1">
      <alignment horizontal="left" vertical="top" wrapText="1"/>
    </xf>
    <xf numFmtId="0" fontId="15" fillId="6" borderId="0" xfId="0" applyFont="1" applyFill="1" applyAlignment="1">
      <alignment vertical="top"/>
    </xf>
    <xf numFmtId="0" fontId="3" fillId="6" borderId="56" xfId="0" applyFont="1" applyFill="1" applyBorder="1" applyAlignment="1">
      <alignment horizontal="center" vertical="top" wrapText="1"/>
    </xf>
    <xf numFmtId="0" fontId="0" fillId="6" borderId="0" xfId="0" applyFill="1" applyAlignment="1">
      <alignment vertical="top"/>
    </xf>
    <xf numFmtId="49" fontId="0" fillId="21" borderId="55" xfId="0" applyNumberFormat="1" applyFill="1" applyBorder="1" applyAlignment="1">
      <alignment vertical="top" wrapText="1"/>
    </xf>
    <xf numFmtId="0" fontId="0" fillId="5" borderId="37" xfId="0" applyFill="1" applyBorder="1"/>
    <xf numFmtId="0" fontId="0" fillId="6" borderId="0" xfId="0" applyFill="1" applyAlignment="1">
      <alignment horizontal="left"/>
    </xf>
    <xf numFmtId="0" fontId="0" fillId="6" borderId="21" xfId="0" applyFill="1" applyBorder="1" applyAlignment="1">
      <alignment horizontal="left"/>
    </xf>
    <xf numFmtId="0" fontId="0" fillId="6" borderId="33" xfId="0" applyFill="1" applyBorder="1" applyAlignment="1">
      <alignment horizontal="left"/>
    </xf>
    <xf numFmtId="0" fontId="3" fillId="6" borderId="0" xfId="0" applyFont="1" applyFill="1" applyBorder="1" applyAlignment="1"/>
    <xf numFmtId="0" fontId="0" fillId="6" borderId="6" xfId="0" applyFill="1" applyBorder="1" applyAlignment="1">
      <alignment horizontal="left"/>
    </xf>
    <xf numFmtId="0" fontId="0" fillId="6" borderId="30" xfId="0" applyFill="1" applyBorder="1" applyAlignment="1">
      <alignment horizontal="left"/>
    </xf>
    <xf numFmtId="0" fontId="0" fillId="6" borderId="32" xfId="0" applyFill="1" applyBorder="1" applyAlignment="1">
      <alignment horizontal="left"/>
    </xf>
    <xf numFmtId="0" fontId="0" fillId="6" borderId="61" xfId="0" applyFill="1" applyBorder="1" applyAlignment="1">
      <alignment horizontal="left"/>
    </xf>
    <xf numFmtId="0" fontId="0" fillId="6" borderId="70" xfId="0" applyFill="1" applyBorder="1" applyAlignment="1">
      <alignment horizontal="left"/>
    </xf>
    <xf numFmtId="0" fontId="0" fillId="6" borderId="62" xfId="0" applyFill="1" applyBorder="1" applyAlignment="1">
      <alignment horizontal="left"/>
    </xf>
    <xf numFmtId="2" fontId="0" fillId="6" borderId="0" xfId="0" applyNumberFormat="1" applyFill="1" applyBorder="1"/>
    <xf numFmtId="1" fontId="0" fillId="6" borderId="0" xfId="0" applyNumberFormat="1" applyFill="1" applyBorder="1"/>
    <xf numFmtId="0" fontId="3" fillId="6" borderId="13" xfId="0" applyFont="1" applyFill="1" applyBorder="1"/>
    <xf numFmtId="0" fontId="0" fillId="6" borderId="0" xfId="0" applyFill="1" applyBorder="1" applyAlignment="1"/>
    <xf numFmtId="0" fontId="0" fillId="6" borderId="53" xfId="0" applyFill="1" applyBorder="1" applyAlignment="1">
      <alignment horizontal="left"/>
    </xf>
    <xf numFmtId="0" fontId="3" fillId="6" borderId="13" xfId="0" applyFont="1" applyFill="1" applyBorder="1" applyAlignment="1"/>
    <xf numFmtId="0" fontId="3" fillId="6" borderId="30" xfId="0" applyFont="1" applyFill="1" applyBorder="1" applyAlignment="1"/>
    <xf numFmtId="1" fontId="3" fillId="6" borderId="38" xfId="0" applyNumberFormat="1" applyFont="1" applyFill="1" applyBorder="1"/>
    <xf numFmtId="0" fontId="3" fillId="6" borderId="20" xfId="0" applyFont="1" applyFill="1" applyBorder="1" applyAlignment="1">
      <alignment horizontal="left"/>
    </xf>
    <xf numFmtId="0" fontId="0" fillId="6" borderId="4" xfId="0" applyFill="1" applyBorder="1" applyAlignment="1">
      <alignment horizontal="left"/>
    </xf>
    <xf numFmtId="0" fontId="0" fillId="6" borderId="0" xfId="0" applyFill="1" applyBorder="1" applyAlignment="1">
      <alignment horizontal="left"/>
    </xf>
    <xf numFmtId="0" fontId="0" fillId="6" borderId="13" xfId="0" applyFill="1" applyBorder="1" applyAlignment="1">
      <alignment horizontal="left"/>
    </xf>
    <xf numFmtId="0" fontId="3" fillId="6" borderId="0" xfId="0" applyFont="1" applyFill="1" applyBorder="1" applyAlignment="1">
      <alignment horizontal="left"/>
    </xf>
    <xf numFmtId="0" fontId="3" fillId="6" borderId="61" xfId="0" applyFont="1" applyFill="1" applyBorder="1" applyAlignment="1">
      <alignment horizontal="left"/>
    </xf>
    <xf numFmtId="41" fontId="0" fillId="17" borderId="27" xfId="0" applyNumberFormat="1" applyFill="1" applyBorder="1"/>
    <xf numFmtId="41" fontId="0" fillId="17" borderId="28" xfId="0" applyNumberFormat="1" applyFill="1" applyBorder="1"/>
    <xf numFmtId="41" fontId="0" fillId="17" borderId="55" xfId="0" applyNumberFormat="1" applyFill="1" applyBorder="1"/>
    <xf numFmtId="41" fontId="0" fillId="17" borderId="7" xfId="0" applyNumberFormat="1" applyFill="1" applyBorder="1"/>
    <xf numFmtId="41" fontId="0" fillId="17" borderId="29" xfId="0" applyNumberFormat="1" applyFill="1" applyBorder="1"/>
    <xf numFmtId="41" fontId="0" fillId="17" borderId="39" xfId="0" applyNumberFormat="1" applyFill="1" applyBorder="1"/>
    <xf numFmtId="0" fontId="0" fillId="21" borderId="28" xfId="0" applyFill="1" applyBorder="1" applyAlignment="1">
      <alignment wrapText="1"/>
    </xf>
    <xf numFmtId="0" fontId="3" fillId="6" borderId="0" xfId="0" applyFont="1" applyFill="1" applyAlignment="1">
      <alignment vertical="top" wrapText="1"/>
    </xf>
    <xf numFmtId="0" fontId="16" fillId="21" borderId="4" xfId="3" applyFill="1" applyBorder="1" applyAlignment="1">
      <alignment vertical="top"/>
    </xf>
    <xf numFmtId="0" fontId="3" fillId="21" borderId="2" xfId="0" applyFont="1" applyFill="1" applyBorder="1" applyAlignment="1">
      <alignment vertical="top"/>
    </xf>
    <xf numFmtId="0" fontId="0" fillId="21" borderId="28" xfId="0" applyFill="1" applyBorder="1" applyAlignment="1">
      <alignment vertical="top" wrapText="1"/>
    </xf>
    <xf numFmtId="0" fontId="3" fillId="21" borderId="26" xfId="0" applyFont="1" applyFill="1" applyBorder="1" applyAlignment="1">
      <alignment vertical="top"/>
    </xf>
    <xf numFmtId="0" fontId="16" fillId="21" borderId="25" xfId="3" applyFill="1" applyBorder="1" applyAlignment="1">
      <alignment vertical="top"/>
    </xf>
    <xf numFmtId="0" fontId="3" fillId="21" borderId="68" xfId="0" applyFont="1" applyFill="1" applyBorder="1" applyAlignment="1">
      <alignment vertical="top" wrapText="1"/>
    </xf>
    <xf numFmtId="0" fontId="0" fillId="21" borderId="14" xfId="0" applyFill="1" applyBorder="1" applyAlignment="1">
      <alignment vertical="top" wrapText="1"/>
    </xf>
    <xf numFmtId="0" fontId="0" fillId="21" borderId="15" xfId="0" applyFill="1" applyBorder="1" applyAlignment="1">
      <alignment vertical="top" wrapText="1"/>
    </xf>
    <xf numFmtId="0" fontId="3" fillId="21" borderId="4" xfId="0" applyFont="1" applyFill="1" applyBorder="1"/>
    <xf numFmtId="0" fontId="0" fillId="6" borderId="0" xfId="0" applyFill="1" applyAlignment="1">
      <alignment wrapText="1"/>
    </xf>
    <xf numFmtId="0" fontId="3" fillId="21" borderId="28" xfId="0" applyFont="1" applyFill="1" applyBorder="1"/>
    <xf numFmtId="0" fontId="3" fillId="21" borderId="27" xfId="0" applyFont="1" applyFill="1" applyBorder="1" applyAlignment="1">
      <alignment wrapText="1"/>
    </xf>
    <xf numFmtId="0" fontId="3" fillId="23" borderId="4" xfId="0" applyFont="1" applyFill="1" applyBorder="1" applyAlignment="1">
      <alignment horizontal="right" vertical="top" wrapText="1"/>
    </xf>
    <xf numFmtId="166" fontId="0" fillId="6" borderId="0" xfId="0" applyNumberFormat="1" applyFill="1"/>
    <xf numFmtId="0" fontId="0" fillId="6" borderId="0" xfId="0" applyFill="1" applyBorder="1"/>
    <xf numFmtId="0" fontId="16" fillId="21" borderId="25" xfId="3" applyFill="1" applyBorder="1" applyAlignment="1">
      <alignment vertical="top"/>
    </xf>
    <xf numFmtId="0" fontId="16" fillId="21" borderId="4" xfId="3" quotePrefix="1" applyFill="1" applyBorder="1" applyAlignment="1">
      <alignment vertical="top"/>
    </xf>
    <xf numFmtId="3" fontId="0" fillId="13" borderId="5" xfId="0" applyNumberFormat="1" applyFill="1" applyBorder="1" applyProtection="1">
      <protection locked="0"/>
    </xf>
    <xf numFmtId="3" fontId="0" fillId="14" borderId="35" xfId="0" applyNumberFormat="1" applyFill="1" applyBorder="1" applyProtection="1">
      <protection locked="0"/>
    </xf>
    <xf numFmtId="3" fontId="0" fillId="14" borderId="23" xfId="0" applyNumberFormat="1" applyFill="1" applyBorder="1" applyProtection="1">
      <protection locked="0"/>
    </xf>
    <xf numFmtId="3" fontId="0" fillId="6" borderId="35" xfId="0" applyNumberFormat="1" applyFill="1" applyBorder="1" applyProtection="1">
      <protection locked="0"/>
    </xf>
    <xf numFmtId="3" fontId="0" fillId="6" borderId="5" xfId="0" applyNumberFormat="1" applyFill="1" applyBorder="1" applyProtection="1">
      <protection locked="0"/>
    </xf>
    <xf numFmtId="3" fontId="0" fillId="6" borderId="23" xfId="0" applyNumberFormat="1" applyFill="1" applyBorder="1" applyProtection="1">
      <protection locked="0"/>
    </xf>
    <xf numFmtId="3" fontId="0" fillId="5" borderId="35" xfId="0" applyNumberFormat="1" applyFill="1" applyBorder="1" applyProtection="1">
      <protection locked="0"/>
    </xf>
    <xf numFmtId="3" fontId="0" fillId="19" borderId="35" xfId="0" applyNumberFormat="1" applyFill="1" applyBorder="1" applyProtection="1">
      <protection locked="0"/>
    </xf>
    <xf numFmtId="3" fontId="0" fillId="19" borderId="5" xfId="0" applyNumberFormat="1" applyFill="1" applyBorder="1" applyProtection="1">
      <protection locked="0"/>
    </xf>
    <xf numFmtId="3" fontId="0" fillId="5" borderId="5" xfId="0" applyNumberFormat="1" applyFill="1" applyBorder="1" applyProtection="1">
      <protection locked="0"/>
    </xf>
    <xf numFmtId="0" fontId="0" fillId="6" borderId="0" xfId="0" applyFill="1" applyProtection="1">
      <protection locked="0"/>
    </xf>
    <xf numFmtId="0" fontId="27" fillId="6" borderId="0" xfId="0" applyFont="1" applyFill="1" applyProtection="1">
      <protection locked="0"/>
    </xf>
    <xf numFmtId="0" fontId="0" fillId="6" borderId="0" xfId="0" applyFill="1" applyAlignment="1" applyProtection="1">
      <alignment vertical="top" wrapText="1"/>
      <protection locked="0"/>
    </xf>
    <xf numFmtId="0" fontId="0" fillId="6" borderId="0" xfId="0" applyFill="1" applyBorder="1" applyAlignment="1" applyProtection="1">
      <alignment vertical="top" wrapText="1"/>
      <protection locked="0"/>
    </xf>
    <xf numFmtId="0" fontId="0" fillId="6" borderId="0" xfId="0" applyFill="1" applyAlignment="1" applyProtection="1">
      <alignment horizontal="left"/>
      <protection locked="0"/>
    </xf>
    <xf numFmtId="0" fontId="24" fillId="6" borderId="20" xfId="0" applyFont="1" applyFill="1" applyBorder="1" applyProtection="1">
      <protection locked="0"/>
    </xf>
    <xf numFmtId="0" fontId="0" fillId="6" borderId="21" xfId="0" applyFill="1" applyBorder="1" applyProtection="1">
      <protection locked="0"/>
    </xf>
    <xf numFmtId="0" fontId="3" fillId="6" borderId="21" xfId="0" applyFont="1" applyFill="1" applyBorder="1" applyProtection="1">
      <protection locked="0"/>
    </xf>
    <xf numFmtId="0" fontId="0" fillId="6" borderId="33" xfId="0" applyFill="1" applyBorder="1" applyProtection="1">
      <protection locked="0"/>
    </xf>
    <xf numFmtId="0" fontId="3" fillId="6" borderId="17" xfId="0" applyFont="1" applyFill="1" applyBorder="1" applyProtection="1">
      <protection locked="0"/>
    </xf>
    <xf numFmtId="0" fontId="3" fillId="6" borderId="18" xfId="0" applyFont="1" applyFill="1" applyBorder="1" applyProtection="1">
      <protection locked="0"/>
    </xf>
    <xf numFmtId="0" fontId="24" fillId="6" borderId="4" xfId="0" applyFont="1" applyFill="1" applyBorder="1" applyProtection="1">
      <protection locked="0"/>
    </xf>
    <xf numFmtId="0" fontId="0" fillId="6" borderId="0" xfId="0" applyFill="1" applyBorder="1" applyProtection="1">
      <protection locked="0"/>
    </xf>
    <xf numFmtId="0" fontId="3" fillId="6" borderId="0" xfId="0" applyFont="1" applyFill="1" applyBorder="1" applyProtection="1">
      <protection locked="0"/>
    </xf>
    <xf numFmtId="0" fontId="0" fillId="5" borderId="14" xfId="0" applyFill="1" applyBorder="1" applyProtection="1">
      <protection locked="0"/>
    </xf>
    <xf numFmtId="0" fontId="0" fillId="6" borderId="5" xfId="0" applyFill="1" applyBorder="1" applyProtection="1">
      <protection locked="0"/>
    </xf>
    <xf numFmtId="0" fontId="24" fillId="6" borderId="6" xfId="0" applyFont="1" applyFill="1" applyBorder="1" applyProtection="1">
      <protection locked="0"/>
    </xf>
    <xf numFmtId="0" fontId="0" fillId="6" borderId="30" xfId="0" applyFill="1" applyBorder="1" applyProtection="1">
      <protection locked="0"/>
    </xf>
    <xf numFmtId="0" fontId="0" fillId="5" borderId="19" xfId="0" applyFill="1" applyBorder="1" applyProtection="1">
      <protection locked="0"/>
    </xf>
    <xf numFmtId="0" fontId="0" fillId="6" borderId="7" xfId="0" applyFill="1" applyBorder="1" applyProtection="1">
      <protection locked="0"/>
    </xf>
    <xf numFmtId="0" fontId="24" fillId="6" borderId="46" xfId="0" applyFont="1" applyFill="1" applyBorder="1" applyProtection="1">
      <protection locked="0"/>
    </xf>
    <xf numFmtId="0" fontId="0" fillId="8" borderId="21" xfId="0" applyFill="1" applyBorder="1" applyProtection="1">
      <protection locked="0"/>
    </xf>
    <xf numFmtId="0" fontId="0" fillId="8" borderId="33" xfId="0" applyFill="1" applyBorder="1" applyProtection="1">
      <protection locked="0"/>
    </xf>
    <xf numFmtId="0" fontId="0" fillId="8" borderId="34" xfId="0" applyFill="1" applyBorder="1" applyProtection="1">
      <protection locked="0"/>
    </xf>
    <xf numFmtId="0" fontId="0" fillId="8" borderId="18" xfId="0" applyFill="1" applyBorder="1" applyProtection="1">
      <protection locked="0"/>
    </xf>
    <xf numFmtId="0" fontId="0" fillId="5" borderId="37" xfId="0" applyFill="1" applyBorder="1" applyProtection="1">
      <protection locked="0"/>
    </xf>
    <xf numFmtId="0" fontId="0" fillId="8" borderId="6" xfId="0" applyFill="1" applyBorder="1" applyProtection="1">
      <protection locked="0"/>
    </xf>
    <xf numFmtId="0" fontId="0" fillId="8" borderId="30" xfId="0" applyFill="1" applyBorder="1" applyProtection="1">
      <protection locked="0"/>
    </xf>
    <xf numFmtId="0" fontId="0" fillId="5" borderId="31" xfId="0" applyFill="1" applyBorder="1" applyProtection="1">
      <protection locked="0"/>
    </xf>
    <xf numFmtId="0" fontId="0" fillId="8" borderId="7" xfId="0" applyFill="1" applyBorder="1" applyProtection="1">
      <protection locked="0"/>
    </xf>
    <xf numFmtId="0" fontId="0" fillId="6" borderId="13" xfId="0" applyFill="1" applyBorder="1" applyProtection="1">
      <protection locked="0"/>
    </xf>
    <xf numFmtId="0" fontId="29" fillId="6" borderId="0" xfId="0" applyFont="1" applyFill="1" applyProtection="1">
      <protection locked="0"/>
    </xf>
    <xf numFmtId="0" fontId="19" fillId="6" borderId="0" xfId="0" applyFont="1" applyFill="1" applyProtection="1">
      <protection locked="0"/>
    </xf>
    <xf numFmtId="0" fontId="3" fillId="6" borderId="0" xfId="0" applyFont="1" applyFill="1" applyProtection="1">
      <protection locked="0"/>
    </xf>
    <xf numFmtId="0" fontId="3" fillId="6" borderId="46" xfId="0" applyFont="1" applyFill="1" applyBorder="1" applyProtection="1">
      <protection locked="0"/>
    </xf>
    <xf numFmtId="0" fontId="3" fillId="6" borderId="34" xfId="0" applyFont="1" applyFill="1" applyBorder="1" applyProtection="1">
      <protection locked="0"/>
    </xf>
    <xf numFmtId="0" fontId="3" fillId="6" borderId="38" xfId="0" applyFont="1" applyFill="1" applyBorder="1" applyProtection="1">
      <protection locked="0"/>
    </xf>
    <xf numFmtId="0" fontId="0" fillId="5" borderId="22" xfId="0" applyFill="1" applyBorder="1" applyProtection="1">
      <protection locked="0"/>
    </xf>
    <xf numFmtId="0" fontId="0" fillId="5" borderId="68" xfId="0" applyFill="1" applyBorder="1" applyProtection="1">
      <protection locked="0"/>
    </xf>
    <xf numFmtId="0" fontId="0" fillId="5" borderId="5" xfId="0" applyFill="1" applyBorder="1" applyProtection="1">
      <protection locked="0"/>
    </xf>
    <xf numFmtId="0" fontId="0" fillId="6" borderId="4" xfId="0" applyFill="1" applyBorder="1" applyAlignment="1" applyProtection="1">
      <alignment horizontal="left"/>
      <protection locked="0"/>
    </xf>
    <xf numFmtId="0" fontId="0" fillId="6" borderId="0" xfId="0" applyFill="1" applyBorder="1" applyAlignment="1" applyProtection="1">
      <alignment horizontal="left"/>
      <protection locked="0"/>
    </xf>
    <xf numFmtId="0" fontId="0" fillId="6" borderId="13" xfId="0" applyFill="1" applyBorder="1" applyAlignment="1" applyProtection="1">
      <alignment horizontal="left"/>
      <protection locked="0"/>
    </xf>
    <xf numFmtId="0" fontId="0" fillId="5" borderId="15" xfId="0" applyFill="1" applyBorder="1" applyProtection="1">
      <protection locked="0"/>
    </xf>
    <xf numFmtId="0" fontId="0" fillId="6" borderId="72" xfId="0" applyFill="1" applyBorder="1" applyProtection="1">
      <protection locked="0"/>
    </xf>
    <xf numFmtId="0" fontId="0" fillId="6" borderId="61" xfId="0" applyFill="1" applyBorder="1" applyAlignment="1" applyProtection="1">
      <alignment horizontal="left"/>
      <protection locked="0"/>
    </xf>
    <xf numFmtId="0" fontId="0" fillId="6" borderId="62" xfId="0" applyFill="1" applyBorder="1" applyAlignment="1" applyProtection="1">
      <alignment horizontal="left"/>
      <protection locked="0"/>
    </xf>
    <xf numFmtId="0" fontId="0" fillId="6" borderId="70" xfId="0" applyFill="1" applyBorder="1" applyAlignment="1" applyProtection="1">
      <alignment horizontal="left"/>
      <protection locked="0"/>
    </xf>
    <xf numFmtId="0" fontId="3" fillId="6" borderId="67" xfId="0" applyFont="1" applyFill="1" applyBorder="1" applyProtection="1">
      <protection locked="0"/>
    </xf>
    <xf numFmtId="0" fontId="3" fillId="6" borderId="41" xfId="0" applyFont="1" applyFill="1" applyBorder="1" applyProtection="1">
      <protection locked="0"/>
    </xf>
    <xf numFmtId="0" fontId="0" fillId="5" borderId="71" xfId="0" applyFill="1" applyBorder="1" applyProtection="1">
      <protection locked="0"/>
    </xf>
    <xf numFmtId="0" fontId="0" fillId="5" borderId="7" xfId="0" applyFill="1" applyBorder="1" applyProtection="1">
      <protection locked="0"/>
    </xf>
    <xf numFmtId="0" fontId="3" fillId="6" borderId="56" xfId="0" applyFont="1" applyFill="1" applyBorder="1" applyAlignment="1" applyProtection="1">
      <protection locked="0"/>
    </xf>
    <xf numFmtId="0" fontId="3" fillId="6" borderId="64" xfId="0" applyFont="1" applyFill="1" applyBorder="1" applyAlignment="1" applyProtection="1">
      <protection locked="0"/>
    </xf>
    <xf numFmtId="0" fontId="3" fillId="6" borderId="57" xfId="0" applyFont="1" applyFill="1" applyBorder="1" applyAlignment="1" applyProtection="1">
      <protection locked="0"/>
    </xf>
    <xf numFmtId="0" fontId="3" fillId="6" borderId="25" xfId="0" applyFont="1" applyFill="1" applyBorder="1" applyProtection="1">
      <protection locked="0"/>
    </xf>
    <xf numFmtId="0" fontId="3" fillId="6" borderId="20" xfId="0" applyFont="1" applyFill="1" applyBorder="1" applyAlignment="1" applyProtection="1">
      <alignment horizontal="left"/>
      <protection locked="0"/>
    </xf>
    <xf numFmtId="0" fontId="0" fillId="6" borderId="21" xfId="0" applyFill="1" applyBorder="1" applyAlignment="1" applyProtection="1">
      <alignment horizontal="left"/>
      <protection locked="0"/>
    </xf>
    <xf numFmtId="0" fontId="0" fillId="6" borderId="33" xfId="0" applyFill="1" applyBorder="1" applyAlignment="1" applyProtection="1">
      <alignment horizontal="left"/>
      <protection locked="0"/>
    </xf>
    <xf numFmtId="0" fontId="0" fillId="5" borderId="12" xfId="0" applyFill="1" applyBorder="1" applyProtection="1">
      <protection locked="0"/>
    </xf>
    <xf numFmtId="0" fontId="0" fillId="5" borderId="28" xfId="0" applyFill="1" applyBorder="1" applyProtection="1">
      <protection locked="0"/>
    </xf>
    <xf numFmtId="0" fontId="3" fillId="6" borderId="9" xfId="0" applyFont="1" applyFill="1" applyBorder="1" applyProtection="1">
      <protection locked="0"/>
    </xf>
    <xf numFmtId="0" fontId="3" fillId="6" borderId="61" xfId="0" applyFont="1" applyFill="1" applyBorder="1" applyProtection="1">
      <protection locked="0"/>
    </xf>
    <xf numFmtId="0" fontId="3" fillId="6" borderId="61" xfId="0" applyFont="1" applyFill="1" applyBorder="1" applyAlignment="1" applyProtection="1">
      <alignment horizontal="left"/>
      <protection locked="0"/>
    </xf>
    <xf numFmtId="0" fontId="0" fillId="5" borderId="6" xfId="0" applyFill="1" applyBorder="1" applyProtection="1">
      <protection locked="0"/>
    </xf>
    <xf numFmtId="0" fontId="0" fillId="6" borderId="6" xfId="0" applyFill="1" applyBorder="1" applyAlignment="1" applyProtection="1">
      <alignment horizontal="left"/>
      <protection locked="0"/>
    </xf>
    <xf numFmtId="0" fontId="0" fillId="6" borderId="30" xfId="0" applyFill="1" applyBorder="1" applyAlignment="1" applyProtection="1">
      <alignment horizontal="left"/>
      <protection locked="0"/>
    </xf>
    <xf numFmtId="0" fontId="0" fillId="6" borderId="32" xfId="0" applyFill="1" applyBorder="1" applyAlignment="1" applyProtection="1">
      <alignment horizontal="left"/>
      <protection locked="0"/>
    </xf>
    <xf numFmtId="0" fontId="0" fillId="5" borderId="29" xfId="0" applyFill="1" applyBorder="1" applyProtection="1">
      <protection locked="0"/>
    </xf>
    <xf numFmtId="0" fontId="3" fillId="6" borderId="20" xfId="0" applyFont="1" applyFill="1" applyBorder="1" applyProtection="1">
      <protection locked="0"/>
    </xf>
    <xf numFmtId="0" fontId="3" fillId="6" borderId="12" xfId="0" applyFont="1" applyFill="1" applyBorder="1" applyProtection="1">
      <protection locked="0"/>
    </xf>
    <xf numFmtId="0" fontId="0" fillId="5" borderId="44" xfId="0" applyFill="1" applyBorder="1" applyProtection="1">
      <protection locked="0"/>
    </xf>
    <xf numFmtId="0" fontId="0" fillId="6" borderId="4" xfId="0" applyFill="1" applyBorder="1" applyProtection="1">
      <protection locked="0"/>
    </xf>
    <xf numFmtId="0" fontId="0" fillId="6" borderId="12" xfId="0" applyFill="1" applyBorder="1" applyProtection="1">
      <protection locked="0"/>
    </xf>
    <xf numFmtId="0" fontId="0" fillId="5" borderId="45" xfId="0" applyFill="1" applyBorder="1" applyProtection="1">
      <protection locked="0"/>
    </xf>
    <xf numFmtId="0" fontId="0" fillId="6" borderId="6" xfId="0" applyFill="1" applyBorder="1" applyProtection="1">
      <protection locked="0"/>
    </xf>
    <xf numFmtId="0" fontId="3" fillId="6" borderId="0" xfId="0" applyFont="1" applyFill="1" applyBorder="1" applyAlignment="1" applyProtection="1">
      <alignment horizontal="center"/>
      <protection locked="0"/>
    </xf>
    <xf numFmtId="0" fontId="0" fillId="6" borderId="20" xfId="0" applyFill="1" applyBorder="1" applyProtection="1">
      <protection locked="0"/>
    </xf>
    <xf numFmtId="0" fontId="3" fillId="6" borderId="6" xfId="0" applyFont="1" applyFill="1" applyBorder="1" applyProtection="1">
      <protection locked="0"/>
    </xf>
    <xf numFmtId="0" fontId="3" fillId="6" borderId="30" xfId="0" applyFont="1" applyFill="1" applyBorder="1" applyProtection="1">
      <protection locked="0"/>
    </xf>
    <xf numFmtId="0" fontId="0" fillId="6" borderId="2" xfId="0" applyFill="1" applyBorder="1" applyProtection="1">
      <protection locked="0"/>
    </xf>
    <xf numFmtId="0" fontId="3" fillId="6" borderId="2" xfId="0" applyFont="1" applyFill="1" applyBorder="1" applyAlignment="1" applyProtection="1">
      <protection locked="0"/>
    </xf>
    <xf numFmtId="0" fontId="0" fillId="6" borderId="8" xfId="0" applyFill="1" applyBorder="1" applyAlignment="1" applyProtection="1">
      <protection locked="0"/>
    </xf>
    <xf numFmtId="0" fontId="0" fillId="6" borderId="3" xfId="0" applyFill="1" applyBorder="1" applyAlignment="1" applyProtection="1">
      <protection locked="0"/>
    </xf>
    <xf numFmtId="0" fontId="0" fillId="6" borderId="0" xfId="0" applyFill="1" applyBorder="1" applyAlignment="1" applyProtection="1">
      <protection locked="0"/>
    </xf>
    <xf numFmtId="0" fontId="0" fillId="6" borderId="61" xfId="0" applyFill="1" applyBorder="1" applyProtection="1">
      <protection locked="0"/>
    </xf>
    <xf numFmtId="0" fontId="0" fillId="6" borderId="4" xfId="0" applyFont="1" applyFill="1" applyBorder="1" applyProtection="1">
      <protection locked="0"/>
    </xf>
    <xf numFmtId="0" fontId="16" fillId="6" borderId="0" xfId="3" applyFill="1" applyProtection="1">
      <protection locked="0"/>
    </xf>
    <xf numFmtId="0" fontId="16" fillId="6" borderId="0" xfId="3" quotePrefix="1" applyFill="1" applyProtection="1">
      <protection locked="0"/>
    </xf>
    <xf numFmtId="0" fontId="28" fillId="8" borderId="20" xfId="0" applyFont="1" applyFill="1" applyBorder="1" applyProtection="1">
      <protection locked="0"/>
    </xf>
    <xf numFmtId="0" fontId="15" fillId="6" borderId="0" xfId="0" applyFont="1" applyFill="1" applyProtection="1">
      <protection locked="0"/>
    </xf>
    <xf numFmtId="0" fontId="3" fillId="6" borderId="13" xfId="0" applyFont="1" applyFill="1" applyBorder="1" applyProtection="1">
      <protection locked="0"/>
    </xf>
    <xf numFmtId="0" fontId="19" fillId="6" borderId="29" xfId="0" applyFont="1" applyFill="1" applyBorder="1" applyProtection="1">
      <protection locked="0"/>
    </xf>
    <xf numFmtId="0" fontId="2" fillId="6" borderId="0" xfId="0" applyFont="1" applyFill="1" applyProtection="1">
      <protection locked="0"/>
    </xf>
    <xf numFmtId="0" fontId="0" fillId="6" borderId="28" xfId="0" applyFill="1" applyBorder="1" applyProtection="1">
      <protection locked="0"/>
    </xf>
    <xf numFmtId="9" fontId="0" fillId="5" borderId="31" xfId="0" applyNumberFormat="1" applyFill="1" applyBorder="1" applyProtection="1">
      <protection locked="0"/>
    </xf>
    <xf numFmtId="0" fontId="0" fillId="6" borderId="29" xfId="0" applyFill="1" applyBorder="1" applyProtection="1">
      <protection locked="0"/>
    </xf>
    <xf numFmtId="9" fontId="0" fillId="6" borderId="0" xfId="0" applyNumberFormat="1" applyFill="1" applyBorder="1" applyProtection="1">
      <protection locked="0"/>
    </xf>
    <xf numFmtId="0" fontId="3" fillId="6" borderId="20" xfId="0" applyFont="1" applyFill="1" applyBorder="1" applyAlignment="1" applyProtection="1">
      <alignment vertical="top" wrapText="1"/>
      <protection locked="0"/>
    </xf>
    <xf numFmtId="0" fontId="3" fillId="6" borderId="34" xfId="0" applyFont="1" applyFill="1" applyBorder="1" applyAlignment="1" applyProtection="1">
      <alignment vertical="top"/>
      <protection locked="0"/>
    </xf>
    <xf numFmtId="0" fontId="3" fillId="6" borderId="38" xfId="0" applyFont="1" applyFill="1" applyBorder="1" applyAlignment="1" applyProtection="1">
      <alignment vertical="top"/>
      <protection locked="0"/>
    </xf>
    <xf numFmtId="0" fontId="3" fillId="6" borderId="13" xfId="0" applyFont="1" applyFill="1" applyBorder="1" applyAlignment="1" applyProtection="1">
      <alignment vertical="top"/>
      <protection locked="0"/>
    </xf>
    <xf numFmtId="0" fontId="0" fillId="6" borderId="46" xfId="0" applyFill="1" applyBorder="1" applyProtection="1">
      <protection locked="0"/>
    </xf>
    <xf numFmtId="0" fontId="0" fillId="6" borderId="45" xfId="0" applyFill="1" applyBorder="1" applyProtection="1">
      <protection locked="0"/>
    </xf>
    <xf numFmtId="0" fontId="0" fillId="6" borderId="44" xfId="0" applyFill="1" applyBorder="1" applyProtection="1">
      <protection locked="0"/>
    </xf>
    <xf numFmtId="2" fontId="0" fillId="6" borderId="12" xfId="0" applyNumberFormat="1" applyFill="1" applyBorder="1" applyProtection="1">
      <protection locked="0"/>
    </xf>
    <xf numFmtId="0" fontId="19" fillId="6" borderId="12" xfId="0" applyFont="1" applyFill="1" applyBorder="1" applyProtection="1">
      <protection locked="0"/>
    </xf>
    <xf numFmtId="0" fontId="0" fillId="6" borderId="10" xfId="0" applyFill="1" applyBorder="1" applyProtection="1">
      <protection locked="0"/>
    </xf>
    <xf numFmtId="0" fontId="0" fillId="6" borderId="12" xfId="0" applyFill="1" applyBorder="1" applyAlignment="1" applyProtection="1">
      <alignment vertical="top"/>
      <protection locked="0"/>
    </xf>
    <xf numFmtId="0" fontId="0" fillId="6" borderId="0" xfId="0" applyFill="1" applyAlignment="1" applyProtection="1">
      <alignment vertical="top"/>
      <protection locked="0"/>
    </xf>
    <xf numFmtId="0" fontId="0" fillId="6" borderId="31" xfId="0" applyFill="1" applyBorder="1" applyProtection="1">
      <protection locked="0"/>
    </xf>
    <xf numFmtId="0" fontId="0" fillId="6" borderId="53" xfId="0" applyFill="1" applyBorder="1" applyProtection="1">
      <protection locked="0"/>
    </xf>
    <xf numFmtId="0" fontId="0" fillId="6" borderId="54" xfId="0" applyFill="1" applyBorder="1" applyProtection="1">
      <protection locked="0"/>
    </xf>
    <xf numFmtId="0" fontId="0" fillId="6" borderId="0" xfId="0" applyFill="1" applyBorder="1" applyAlignment="1" applyProtection="1">
      <alignment vertical="top"/>
      <protection locked="0"/>
    </xf>
    <xf numFmtId="0" fontId="3" fillId="6" borderId="2" xfId="0" applyFont="1" applyFill="1" applyBorder="1" applyProtection="1">
      <protection locked="0"/>
    </xf>
    <xf numFmtId="0" fontId="24" fillId="6" borderId="16" xfId="0" applyFont="1" applyFill="1" applyBorder="1" applyProtection="1">
      <protection locked="0"/>
    </xf>
    <xf numFmtId="41" fontId="0" fillId="6" borderId="0" xfId="0" applyNumberFormat="1" applyFill="1" applyProtection="1">
      <protection locked="0"/>
    </xf>
    <xf numFmtId="0" fontId="4" fillId="6" borderId="0" xfId="0" applyFont="1" applyFill="1" applyProtection="1">
      <protection locked="0"/>
    </xf>
    <xf numFmtId="0" fontId="0" fillId="6" borderId="18" xfId="0" applyFill="1" applyBorder="1" applyProtection="1">
      <protection locked="0"/>
    </xf>
    <xf numFmtId="0" fontId="0" fillId="5" borderId="9" xfId="0" applyFill="1" applyBorder="1" applyProtection="1">
      <protection locked="0"/>
    </xf>
    <xf numFmtId="0" fontId="0" fillId="5" borderId="0" xfId="0" applyFill="1" applyProtection="1">
      <protection locked="0"/>
    </xf>
    <xf numFmtId="0" fontId="0" fillId="6" borderId="35" xfId="0" applyFill="1" applyBorder="1" applyProtection="1">
      <protection locked="0"/>
    </xf>
    <xf numFmtId="0" fontId="19" fillId="16" borderId="0" xfId="0" applyFont="1" applyFill="1" applyProtection="1">
      <protection locked="0"/>
    </xf>
    <xf numFmtId="0" fontId="19" fillId="5" borderId="30" xfId="0" applyFont="1" applyFill="1" applyBorder="1" applyProtection="1">
      <protection locked="0"/>
    </xf>
    <xf numFmtId="0" fontId="19" fillId="6" borderId="0" xfId="0" applyFont="1" applyFill="1" applyBorder="1" applyProtection="1">
      <protection locked="0"/>
    </xf>
    <xf numFmtId="0" fontId="0" fillId="5" borderId="30" xfId="0" applyFill="1" applyBorder="1" applyProtection="1">
      <protection locked="0"/>
    </xf>
    <xf numFmtId="0" fontId="0" fillId="5" borderId="32" xfId="0" applyFill="1" applyBorder="1" applyProtection="1">
      <protection locked="0"/>
    </xf>
    <xf numFmtId="0" fontId="0" fillId="5" borderId="0" xfId="0" applyFill="1" applyBorder="1" applyProtection="1">
      <protection locked="0"/>
    </xf>
    <xf numFmtId="0" fontId="7" fillId="6" borderId="10" xfId="0" applyFont="1" applyFill="1" applyBorder="1" applyProtection="1">
      <protection locked="0"/>
    </xf>
    <xf numFmtId="0" fontId="7" fillId="5" borderId="69" xfId="0" applyFont="1" applyFill="1" applyBorder="1" applyProtection="1">
      <protection locked="0"/>
    </xf>
    <xf numFmtId="0" fontId="7" fillId="5" borderId="0" xfId="0" applyFont="1" applyFill="1" applyBorder="1" applyProtection="1">
      <protection locked="0"/>
    </xf>
    <xf numFmtId="0" fontId="7" fillId="6" borderId="4" xfId="0" applyFont="1" applyFill="1" applyBorder="1" applyProtection="1">
      <protection locked="0"/>
    </xf>
    <xf numFmtId="0" fontId="17" fillId="6" borderId="20" xfId="0" applyFont="1" applyFill="1" applyBorder="1" applyProtection="1">
      <protection locked="0"/>
    </xf>
    <xf numFmtId="0" fontId="7" fillId="6" borderId="21" xfId="0" applyFont="1" applyFill="1" applyBorder="1" applyProtection="1">
      <protection locked="0"/>
    </xf>
    <xf numFmtId="0" fontId="0" fillId="5" borderId="65" xfId="0" applyFill="1" applyBorder="1" applyProtection="1">
      <protection locked="0"/>
    </xf>
    <xf numFmtId="0" fontId="7" fillId="6" borderId="20" xfId="0" applyFont="1" applyFill="1" applyBorder="1" applyProtection="1">
      <protection locked="0"/>
    </xf>
    <xf numFmtId="0" fontId="0" fillId="5" borderId="13" xfId="0" applyFill="1" applyBorder="1" applyProtection="1">
      <protection locked="0"/>
    </xf>
    <xf numFmtId="0" fontId="11" fillId="6" borderId="0" xfId="0" applyFont="1" applyFill="1" applyAlignment="1" applyProtection="1">
      <alignment vertical="center"/>
      <protection locked="0"/>
    </xf>
    <xf numFmtId="166" fontId="0" fillId="6" borderId="0" xfId="0" applyNumberFormat="1" applyFill="1" applyProtection="1"/>
    <xf numFmtId="0" fontId="0" fillId="6" borderId="0" xfId="0" applyFill="1" applyProtection="1"/>
    <xf numFmtId="0" fontId="0" fillId="6" borderId="30" xfId="0" applyFill="1" applyBorder="1" applyProtection="1"/>
    <xf numFmtId="0" fontId="0" fillId="6" borderId="0" xfId="0" applyFill="1" applyBorder="1" applyProtection="1"/>
    <xf numFmtId="1" fontId="0" fillId="6" borderId="30" xfId="0" applyNumberFormat="1" applyFill="1" applyBorder="1" applyProtection="1"/>
    <xf numFmtId="166" fontId="3" fillId="6" borderId="10" xfId="0" applyNumberFormat="1" applyFont="1" applyFill="1" applyBorder="1" applyProtection="1"/>
    <xf numFmtId="166" fontId="3" fillId="6" borderId="12" xfId="0" applyNumberFormat="1" applyFont="1" applyFill="1" applyBorder="1" applyProtection="1"/>
    <xf numFmtId="166" fontId="3" fillId="6" borderId="31" xfId="0" applyNumberFormat="1" applyFont="1" applyFill="1" applyBorder="1" applyProtection="1"/>
    <xf numFmtId="0" fontId="3" fillId="6" borderId="12" xfId="0" applyFont="1" applyFill="1" applyBorder="1" applyProtection="1"/>
    <xf numFmtId="0" fontId="3" fillId="6" borderId="31" xfId="0" applyFont="1" applyFill="1" applyBorder="1" applyProtection="1"/>
    <xf numFmtId="0" fontId="3" fillId="6" borderId="10" xfId="0" applyFont="1" applyFill="1" applyBorder="1" applyProtection="1"/>
    <xf numFmtId="0" fontId="3" fillId="6" borderId="30" xfId="0" applyFont="1" applyFill="1" applyBorder="1" applyProtection="1"/>
    <xf numFmtId="0" fontId="14" fillId="6" borderId="10" xfId="0" applyFont="1" applyFill="1" applyBorder="1" applyProtection="1"/>
    <xf numFmtId="0" fontId="14" fillId="6" borderId="12" xfId="0" applyFont="1" applyFill="1" applyBorder="1" applyProtection="1"/>
    <xf numFmtId="0" fontId="14" fillId="6" borderId="31" xfId="0" applyFont="1" applyFill="1" applyBorder="1" applyProtection="1"/>
    <xf numFmtId="0" fontId="3" fillId="6" borderId="0" xfId="0" applyFont="1" applyFill="1" applyBorder="1" applyProtection="1"/>
    <xf numFmtId="1" fontId="3" fillId="6" borderId="31" xfId="0" applyNumberFormat="1" applyFont="1" applyFill="1" applyBorder="1" applyProtection="1"/>
    <xf numFmtId="0" fontId="3" fillId="6" borderId="0" xfId="0" applyFont="1" applyFill="1" applyBorder="1" applyAlignment="1" applyProtection="1">
      <protection locked="0"/>
    </xf>
    <xf numFmtId="0" fontId="0" fillId="6" borderId="27" xfId="0" applyFill="1" applyBorder="1" applyProtection="1">
      <protection locked="0"/>
    </xf>
    <xf numFmtId="0" fontId="0" fillId="6" borderId="8" xfId="0" applyFill="1" applyBorder="1" applyProtection="1">
      <protection locked="0"/>
    </xf>
    <xf numFmtId="0" fontId="0" fillId="6" borderId="3" xfId="0" applyFill="1" applyBorder="1" applyProtection="1">
      <protection locked="0"/>
    </xf>
    <xf numFmtId="0" fontId="3" fillId="6" borderId="3" xfId="0" applyFont="1" applyFill="1" applyBorder="1" applyAlignment="1" applyProtection="1">
      <protection locked="0"/>
    </xf>
    <xf numFmtId="0" fontId="3" fillId="6" borderId="53" xfId="0" applyFont="1" applyFill="1" applyBorder="1" applyAlignment="1" applyProtection="1">
      <alignment horizontal="left"/>
      <protection locked="0"/>
    </xf>
    <xf numFmtId="0" fontId="3" fillId="6" borderId="53" xfId="0" applyFont="1" applyFill="1" applyBorder="1" applyProtection="1">
      <protection locked="0"/>
    </xf>
    <xf numFmtId="0" fontId="3" fillId="6" borderId="54" xfId="0" applyFont="1" applyFill="1" applyBorder="1" applyProtection="1">
      <protection locked="0"/>
    </xf>
    <xf numFmtId="0" fontId="0" fillId="5" borderId="12" xfId="0" applyFill="1" applyBorder="1" applyAlignment="1" applyProtection="1">
      <alignment horizontal="left"/>
      <protection locked="0"/>
    </xf>
    <xf numFmtId="0" fontId="0" fillId="6" borderId="37" xfId="0" applyFill="1" applyBorder="1" applyProtection="1">
      <protection locked="0"/>
    </xf>
    <xf numFmtId="1" fontId="0" fillId="6" borderId="28" xfId="0" applyNumberFormat="1" applyFill="1" applyBorder="1" applyProtection="1">
      <protection locked="0"/>
    </xf>
    <xf numFmtId="0" fontId="3" fillId="6" borderId="8" xfId="0" applyFont="1" applyFill="1" applyBorder="1" applyAlignment="1" applyProtection="1">
      <protection locked="0"/>
    </xf>
    <xf numFmtId="0" fontId="3" fillId="6" borderId="34" xfId="0" applyFont="1" applyFill="1" applyBorder="1" applyAlignment="1" applyProtection="1">
      <protection locked="0"/>
    </xf>
    <xf numFmtId="0" fontId="3" fillId="6" borderId="4" xfId="0" applyFont="1" applyFill="1" applyBorder="1" applyProtection="1">
      <protection locked="0"/>
    </xf>
    <xf numFmtId="2" fontId="0" fillId="6" borderId="0" xfId="0" applyNumberFormat="1" applyFill="1" applyBorder="1" applyProtection="1">
      <protection locked="0"/>
    </xf>
    <xf numFmtId="0" fontId="3" fillId="6" borderId="16" xfId="0" applyFont="1" applyFill="1" applyBorder="1" applyProtection="1">
      <protection locked="0"/>
    </xf>
    <xf numFmtId="0" fontId="0" fillId="6" borderId="22" xfId="0" applyFill="1" applyBorder="1" applyProtection="1">
      <protection locked="0"/>
    </xf>
    <xf numFmtId="0" fontId="0" fillId="6" borderId="12" xfId="0" applyFill="1" applyBorder="1" applyProtection="1"/>
    <xf numFmtId="166" fontId="0" fillId="6" borderId="12" xfId="0" applyNumberFormat="1" applyFill="1" applyBorder="1" applyProtection="1"/>
    <xf numFmtId="2" fontId="0" fillId="6" borderId="12" xfId="0" applyNumberFormat="1" applyFill="1" applyBorder="1" applyProtection="1"/>
    <xf numFmtId="2" fontId="0" fillId="6" borderId="31" xfId="0" applyNumberFormat="1" applyFill="1" applyBorder="1" applyProtection="1"/>
    <xf numFmtId="1" fontId="0" fillId="6" borderId="12" xfId="0" applyNumberFormat="1" applyFill="1" applyBorder="1" applyProtection="1"/>
    <xf numFmtId="1" fontId="0" fillId="6" borderId="31" xfId="0" applyNumberFormat="1" applyFill="1" applyBorder="1" applyProtection="1"/>
    <xf numFmtId="0" fontId="0" fillId="6" borderId="31" xfId="0" applyFill="1" applyBorder="1" applyProtection="1"/>
    <xf numFmtId="164" fontId="0" fillId="6" borderId="10" xfId="0" applyNumberFormat="1" applyFill="1" applyBorder="1" applyProtection="1"/>
    <xf numFmtId="164" fontId="0" fillId="6" borderId="12" xfId="0" applyNumberFormat="1" applyFill="1" applyBorder="1" applyProtection="1"/>
    <xf numFmtId="0" fontId="0" fillId="5" borderId="7" xfId="0" applyFill="1" applyBorder="1" applyAlignment="1" applyProtection="1">
      <alignment horizontal="center"/>
      <protection locked="0"/>
    </xf>
    <xf numFmtId="0" fontId="0" fillId="5" borderId="4" xfId="0" applyFill="1" applyBorder="1" applyProtection="1">
      <protection locked="0"/>
    </xf>
    <xf numFmtId="0" fontId="0" fillId="5" borderId="10" xfId="0" applyFill="1" applyBorder="1" applyProtection="1">
      <protection locked="0"/>
    </xf>
    <xf numFmtId="0" fontId="0" fillId="5" borderId="11" xfId="0" applyFill="1" applyBorder="1" applyProtection="1">
      <protection locked="0"/>
    </xf>
    <xf numFmtId="0" fontId="0" fillId="5" borderId="35" xfId="0" applyFill="1" applyBorder="1" applyProtection="1">
      <protection locked="0"/>
    </xf>
    <xf numFmtId="0" fontId="3" fillId="6" borderId="33" xfId="0" applyFont="1" applyFill="1" applyBorder="1" applyProtection="1">
      <protection locked="0"/>
    </xf>
    <xf numFmtId="0" fontId="3" fillId="6" borderId="8" xfId="0" applyFont="1" applyFill="1" applyBorder="1" applyProtection="1">
      <protection locked="0"/>
    </xf>
    <xf numFmtId="0" fontId="3" fillId="6" borderId="3" xfId="0" applyFont="1" applyFill="1" applyBorder="1" applyProtection="1">
      <protection locked="0"/>
    </xf>
    <xf numFmtId="3" fontId="0" fillId="14" borderId="36" xfId="0" applyNumberFormat="1" applyFill="1" applyBorder="1" applyProtection="1">
      <protection locked="0"/>
    </xf>
    <xf numFmtId="3" fontId="0" fillId="14" borderId="78" xfId="0" applyNumberFormat="1" applyFill="1" applyBorder="1" applyProtection="1">
      <protection locked="0"/>
    </xf>
    <xf numFmtId="3" fontId="0" fillId="6" borderId="36" xfId="0" applyNumberFormat="1" applyFill="1" applyBorder="1" applyProtection="1">
      <protection locked="0"/>
    </xf>
    <xf numFmtId="3" fontId="0" fillId="6" borderId="22" xfId="0" applyNumberFormat="1" applyFill="1" applyBorder="1" applyProtection="1">
      <protection locked="0"/>
    </xf>
    <xf numFmtId="3" fontId="0" fillId="6" borderId="78" xfId="0" applyNumberFormat="1" applyFill="1" applyBorder="1" applyProtection="1">
      <protection locked="0"/>
    </xf>
    <xf numFmtId="3" fontId="0" fillId="19" borderId="36" xfId="0" applyNumberFormat="1" applyFill="1" applyBorder="1" applyProtection="1">
      <protection locked="0"/>
    </xf>
    <xf numFmtId="3" fontId="0" fillId="19" borderId="22" xfId="0" applyNumberFormat="1" applyFill="1" applyBorder="1" applyProtection="1">
      <protection locked="0"/>
    </xf>
    <xf numFmtId="3" fontId="0" fillId="5" borderId="36" xfId="0" applyNumberFormat="1" applyFill="1" applyBorder="1" applyProtection="1">
      <protection locked="0"/>
    </xf>
    <xf numFmtId="3" fontId="0" fillId="14" borderId="69" xfId="0" applyNumberFormat="1" applyFill="1" applyBorder="1" applyProtection="1">
      <protection locked="0"/>
    </xf>
    <xf numFmtId="3" fontId="0" fillId="14" borderId="60" xfId="0" applyNumberFormat="1" applyFill="1" applyBorder="1" applyProtection="1">
      <protection locked="0"/>
    </xf>
    <xf numFmtId="3" fontId="0" fillId="6" borderId="69" xfId="0" applyNumberFormat="1" applyFill="1" applyBorder="1" applyProtection="1">
      <protection locked="0"/>
    </xf>
    <xf numFmtId="3" fontId="0" fillId="6" borderId="13" xfId="0" applyNumberFormat="1" applyFill="1" applyBorder="1" applyProtection="1">
      <protection locked="0"/>
    </xf>
    <xf numFmtId="3" fontId="0" fillId="6" borderId="60" xfId="0" applyNumberFormat="1" applyFill="1" applyBorder="1" applyProtection="1">
      <protection locked="0"/>
    </xf>
    <xf numFmtId="3" fontId="0" fillId="19" borderId="69" xfId="0" applyNumberFormat="1" applyFill="1" applyBorder="1" applyProtection="1">
      <protection locked="0"/>
    </xf>
    <xf numFmtId="3" fontId="0" fillId="19" borderId="13" xfId="0" applyNumberFormat="1" applyFill="1" applyBorder="1" applyProtection="1">
      <protection locked="0"/>
    </xf>
    <xf numFmtId="3" fontId="0" fillId="5" borderId="69" xfId="0" applyNumberFormat="1" applyFill="1" applyBorder="1" applyProtection="1">
      <protection locked="0"/>
    </xf>
    <xf numFmtId="3" fontId="0" fillId="5" borderId="13" xfId="0" applyNumberFormat="1" applyFill="1" applyBorder="1" applyProtection="1">
      <protection locked="0"/>
    </xf>
    <xf numFmtId="0" fontId="0" fillId="6" borderId="59" xfId="0" applyFill="1" applyBorder="1" applyAlignment="1" applyProtection="1">
      <alignment horizontal="center"/>
      <protection locked="0"/>
    </xf>
    <xf numFmtId="0" fontId="0" fillId="5" borderId="69" xfId="0" applyFill="1" applyBorder="1" applyProtection="1">
      <protection locked="0"/>
    </xf>
    <xf numFmtId="0" fontId="0" fillId="6" borderId="11" xfId="0" applyFill="1" applyBorder="1" applyAlignment="1" applyProtection="1">
      <alignment horizontal="center"/>
      <protection locked="0"/>
    </xf>
    <xf numFmtId="0" fontId="0" fillId="6" borderId="35" xfId="0" applyFill="1" applyBorder="1" applyAlignment="1" applyProtection="1">
      <alignment horizontal="center"/>
      <protection locked="0"/>
    </xf>
    <xf numFmtId="0" fontId="0" fillId="6" borderId="23" xfId="0" applyFill="1" applyBorder="1" applyAlignment="1" applyProtection="1">
      <alignment horizontal="center"/>
      <protection locked="0"/>
    </xf>
    <xf numFmtId="0" fontId="0" fillId="0" borderId="0" xfId="0" applyFill="1" applyBorder="1"/>
    <xf numFmtId="166" fontId="0" fillId="0" borderId="0" xfId="0" applyNumberFormat="1" applyFill="1" applyBorder="1"/>
    <xf numFmtId="164" fontId="0" fillId="6" borderId="31" xfId="0" applyNumberFormat="1" applyFill="1" applyBorder="1" applyProtection="1"/>
    <xf numFmtId="3" fontId="0" fillId="5" borderId="37" xfId="0" applyNumberFormat="1" applyFill="1" applyBorder="1" applyProtection="1">
      <protection locked="0"/>
    </xf>
    <xf numFmtId="0" fontId="12" fillId="6" borderId="0" xfId="0" applyFont="1" applyFill="1" applyProtection="1">
      <protection locked="0"/>
    </xf>
    <xf numFmtId="0" fontId="5" fillId="6" borderId="0" xfId="0" applyFont="1" applyFill="1" applyProtection="1">
      <protection locked="0"/>
    </xf>
    <xf numFmtId="0" fontId="0" fillId="6" borderId="25" xfId="0" applyFill="1" applyBorder="1" applyProtection="1">
      <protection locked="0"/>
    </xf>
    <xf numFmtId="0" fontId="0" fillId="5" borderId="58" xfId="0" applyFill="1" applyBorder="1" applyProtection="1">
      <protection locked="0"/>
    </xf>
    <xf numFmtId="41" fontId="0" fillId="6" borderId="12" xfId="0" applyNumberFormat="1" applyFill="1" applyBorder="1" applyProtection="1"/>
    <xf numFmtId="41" fontId="0" fillId="6" borderId="0" xfId="0" applyNumberFormat="1" applyFill="1" applyBorder="1" applyProtection="1"/>
    <xf numFmtId="41" fontId="0" fillId="6" borderId="13" xfId="0" applyNumberFormat="1" applyFill="1" applyBorder="1" applyProtection="1"/>
    <xf numFmtId="0" fontId="0" fillId="6" borderId="55" xfId="0" applyFill="1" applyBorder="1" applyProtection="1">
      <protection locked="0"/>
    </xf>
    <xf numFmtId="0" fontId="3" fillId="6" borderId="20" xfId="0" applyFont="1" applyFill="1" applyBorder="1" applyAlignment="1" applyProtection="1">
      <alignment horizontal="center"/>
      <protection locked="0"/>
    </xf>
    <xf numFmtId="0" fontId="3" fillId="6" borderId="21" xfId="0" applyFont="1" applyFill="1" applyBorder="1" applyAlignment="1" applyProtection="1">
      <alignment wrapText="1"/>
      <protection locked="0"/>
    </xf>
    <xf numFmtId="1" fontId="0" fillId="6" borderId="0" xfId="0" applyNumberFormat="1" applyFill="1" applyBorder="1" applyProtection="1"/>
    <xf numFmtId="1" fontId="3" fillId="6" borderId="12" xfId="0" applyNumberFormat="1" applyFont="1" applyFill="1" applyBorder="1" applyProtection="1"/>
    <xf numFmtId="0" fontId="0" fillId="6" borderId="67" xfId="0" applyFill="1" applyBorder="1" applyProtection="1">
      <protection locked="0"/>
    </xf>
    <xf numFmtId="0" fontId="3" fillId="6" borderId="59" xfId="0" applyFont="1" applyFill="1" applyBorder="1" applyProtection="1">
      <protection locked="0"/>
    </xf>
    <xf numFmtId="0" fontId="3" fillId="6" borderId="5" xfId="0" applyFont="1" applyFill="1" applyBorder="1" applyProtection="1">
      <protection locked="0"/>
    </xf>
    <xf numFmtId="0" fontId="0" fillId="6" borderId="21" xfId="0" applyFill="1" applyBorder="1" applyAlignment="1" applyProtection="1">
      <protection locked="0"/>
    </xf>
    <xf numFmtId="0" fontId="0" fillId="6" borderId="18" xfId="0" applyFill="1" applyBorder="1" applyAlignment="1" applyProtection="1">
      <protection locked="0"/>
    </xf>
    <xf numFmtId="0" fontId="0" fillId="6" borderId="6" xfId="0" applyFill="1" applyBorder="1" applyAlignment="1" applyProtection="1">
      <alignment wrapText="1"/>
      <protection locked="0"/>
    </xf>
    <xf numFmtId="0" fontId="3" fillId="6" borderId="7" xfId="0" applyFont="1" applyFill="1" applyBorder="1" applyProtection="1">
      <protection locked="0"/>
    </xf>
    <xf numFmtId="0" fontId="3" fillId="12" borderId="4" xfId="0" applyFont="1" applyFill="1" applyBorder="1" applyProtection="1">
      <protection locked="0"/>
    </xf>
    <xf numFmtId="0" fontId="0" fillId="12" borderId="0" xfId="0" applyFill="1" applyProtection="1">
      <protection locked="0"/>
    </xf>
    <xf numFmtId="0" fontId="3" fillId="12" borderId="0" xfId="0" applyFont="1" applyFill="1" applyAlignment="1" applyProtection="1">
      <alignment horizontal="center" vertical="center"/>
      <protection locked="0"/>
    </xf>
    <xf numFmtId="41" fontId="0" fillId="6" borderId="0" xfId="0" applyNumberFormat="1" applyFill="1" applyBorder="1" applyProtection="1">
      <protection locked="0"/>
    </xf>
    <xf numFmtId="0" fontId="0" fillId="6" borderId="38" xfId="0" applyFill="1" applyBorder="1" applyProtection="1">
      <protection locked="0"/>
    </xf>
    <xf numFmtId="0" fontId="3" fillId="15" borderId="26" xfId="0" applyFont="1" applyFill="1" applyBorder="1" applyProtection="1">
      <protection locked="0"/>
    </xf>
    <xf numFmtId="0" fontId="0" fillId="15" borderId="11" xfId="0" applyFill="1" applyBorder="1" applyProtection="1">
      <protection locked="0"/>
    </xf>
    <xf numFmtId="0" fontId="3" fillId="15" borderId="35" xfId="0" applyFont="1" applyFill="1" applyBorder="1" applyAlignment="1" applyProtection="1">
      <alignment horizontal="center" vertical="center"/>
      <protection locked="0"/>
    </xf>
    <xf numFmtId="0" fontId="0" fillId="12" borderId="4" xfId="0" applyFill="1" applyBorder="1" applyProtection="1">
      <protection locked="0"/>
    </xf>
    <xf numFmtId="0" fontId="3" fillId="15" borderId="4" xfId="0" applyFont="1" applyFill="1" applyBorder="1" applyProtection="1">
      <protection locked="0"/>
    </xf>
    <xf numFmtId="0" fontId="0" fillId="15" borderId="0" xfId="0" applyFill="1" applyProtection="1">
      <protection locked="0"/>
    </xf>
    <xf numFmtId="0" fontId="0" fillId="15" borderId="59" xfId="0" applyFill="1" applyBorder="1" applyProtection="1">
      <protection locked="0"/>
    </xf>
    <xf numFmtId="0" fontId="3" fillId="15" borderId="59" xfId="0" applyFont="1" applyFill="1" applyBorder="1" applyAlignment="1" applyProtection="1">
      <alignment horizontal="center" vertical="center"/>
      <protection locked="0"/>
    </xf>
    <xf numFmtId="0" fontId="0" fillId="15" borderId="4" xfId="0" applyFill="1" applyBorder="1" applyProtection="1">
      <protection locked="0"/>
    </xf>
    <xf numFmtId="0" fontId="3" fillId="8" borderId="26" xfId="0" applyFont="1" applyFill="1" applyBorder="1" applyProtection="1">
      <protection locked="0"/>
    </xf>
    <xf numFmtId="0" fontId="0" fillId="8" borderId="11" xfId="0" applyFill="1" applyBorder="1" applyProtection="1">
      <protection locked="0"/>
    </xf>
    <xf numFmtId="0" fontId="3" fillId="8" borderId="11" xfId="0" applyFont="1" applyFill="1" applyBorder="1" applyAlignment="1" applyProtection="1">
      <alignment horizontal="center" vertical="center"/>
      <protection locked="0"/>
    </xf>
    <xf numFmtId="0" fontId="0" fillId="8" borderId="4" xfId="0" applyFill="1" applyBorder="1" applyProtection="1">
      <protection locked="0"/>
    </xf>
    <xf numFmtId="0" fontId="3" fillId="8" borderId="4" xfId="0" applyFont="1" applyFill="1" applyBorder="1" applyProtection="1">
      <protection locked="0"/>
    </xf>
    <xf numFmtId="0" fontId="0" fillId="8" borderId="0" xfId="0" applyFill="1" applyProtection="1">
      <protection locked="0"/>
    </xf>
    <xf numFmtId="0" fontId="3" fillId="8" borderId="0" xfId="0" applyFont="1" applyFill="1" applyAlignment="1" applyProtection="1">
      <alignment horizontal="center" vertical="center"/>
      <protection locked="0"/>
    </xf>
    <xf numFmtId="0" fontId="0" fillId="11" borderId="4" xfId="0" applyFill="1" applyBorder="1" applyProtection="1">
      <protection locked="0"/>
    </xf>
    <xf numFmtId="0" fontId="0" fillId="18" borderId="4" xfId="0" applyFill="1" applyBorder="1" applyProtection="1">
      <protection locked="0"/>
    </xf>
    <xf numFmtId="0" fontId="0" fillId="6" borderId="50" xfId="0" applyFill="1" applyBorder="1" applyProtection="1">
      <protection locked="0"/>
    </xf>
    <xf numFmtId="0" fontId="0" fillId="8" borderId="59" xfId="0" applyFill="1" applyBorder="1" applyProtection="1">
      <protection locked="0"/>
    </xf>
    <xf numFmtId="0" fontId="3" fillId="8" borderId="59" xfId="0" applyFont="1" applyFill="1" applyBorder="1" applyAlignment="1" applyProtection="1">
      <alignment horizontal="center" vertical="center"/>
      <protection locked="0"/>
    </xf>
    <xf numFmtId="0" fontId="3" fillId="18" borderId="26" xfId="0" applyFont="1" applyFill="1" applyBorder="1" applyProtection="1">
      <protection locked="0"/>
    </xf>
    <xf numFmtId="0" fontId="0" fillId="18" borderId="11" xfId="0" applyFill="1" applyBorder="1" applyProtection="1">
      <protection locked="0"/>
    </xf>
    <xf numFmtId="0" fontId="3" fillId="18" borderId="11" xfId="0" applyFont="1" applyFill="1" applyBorder="1" applyAlignment="1" applyProtection="1">
      <alignment horizontal="center" vertical="center"/>
      <protection locked="0"/>
    </xf>
    <xf numFmtId="0" fontId="3" fillId="18" borderId="4" xfId="0" applyFont="1" applyFill="1" applyBorder="1" applyProtection="1">
      <protection locked="0"/>
    </xf>
    <xf numFmtId="0" fontId="0" fillId="18" borderId="0" xfId="0" applyFill="1" applyProtection="1">
      <protection locked="0"/>
    </xf>
    <xf numFmtId="0" fontId="3" fillId="18" borderId="0" xfId="0" applyFont="1" applyFill="1" applyAlignment="1" applyProtection="1">
      <alignment horizontal="center" vertical="center"/>
      <protection locked="0"/>
    </xf>
    <xf numFmtId="0" fontId="3" fillId="11" borderId="26" xfId="0" applyFont="1" applyFill="1" applyBorder="1" applyProtection="1">
      <protection locked="0"/>
    </xf>
    <xf numFmtId="0" fontId="0" fillId="11" borderId="11" xfId="0" applyFill="1" applyBorder="1" applyProtection="1">
      <protection locked="0"/>
    </xf>
    <xf numFmtId="0" fontId="3" fillId="11" borderId="11" xfId="0" applyFont="1" applyFill="1" applyBorder="1" applyAlignment="1" applyProtection="1">
      <alignment horizontal="center" vertical="center"/>
      <protection locked="0"/>
    </xf>
    <xf numFmtId="0" fontId="3" fillId="11" borderId="4" xfId="0" applyFont="1" applyFill="1" applyBorder="1" applyProtection="1">
      <protection locked="0"/>
    </xf>
    <xf numFmtId="0" fontId="0" fillId="11" borderId="0" xfId="0" applyFill="1" applyProtection="1">
      <protection locked="0"/>
    </xf>
    <xf numFmtId="0" fontId="3" fillId="11" borderId="0" xfId="0" applyFont="1" applyFill="1" applyAlignment="1" applyProtection="1">
      <alignment horizontal="center" vertical="center"/>
      <protection locked="0"/>
    </xf>
    <xf numFmtId="0" fontId="24" fillId="20" borderId="2" xfId="0" applyFont="1" applyFill="1" applyBorder="1" applyProtection="1">
      <protection locked="0"/>
    </xf>
    <xf numFmtId="0" fontId="0" fillId="20" borderId="8" xfId="0" applyFill="1" applyBorder="1" applyProtection="1">
      <protection locked="0"/>
    </xf>
    <xf numFmtId="41" fontId="3" fillId="20" borderId="3" xfId="0" applyNumberFormat="1" applyFont="1" applyFill="1" applyBorder="1" applyAlignment="1" applyProtection="1">
      <alignment horizontal="center" vertical="center"/>
      <protection locked="0"/>
    </xf>
    <xf numFmtId="3" fontId="0" fillId="20" borderId="79" xfId="0" applyNumberFormat="1" applyFill="1" applyBorder="1" applyProtection="1">
      <protection locked="0"/>
    </xf>
    <xf numFmtId="3" fontId="0" fillId="20" borderId="63" xfId="0" applyNumberFormat="1" applyFill="1" applyBorder="1" applyProtection="1">
      <protection locked="0"/>
    </xf>
    <xf numFmtId="3" fontId="0" fillId="20" borderId="3" xfId="0" applyNumberFormat="1" applyFill="1" applyBorder="1" applyProtection="1">
      <protection locked="0"/>
    </xf>
    <xf numFmtId="41" fontId="0" fillId="20" borderId="2" xfId="0" applyNumberFormat="1" applyFill="1" applyBorder="1" applyProtection="1">
      <protection locked="0"/>
    </xf>
    <xf numFmtId="41" fontId="0" fillId="20" borderId="8" xfId="0" applyNumberFormat="1" applyFill="1" applyBorder="1" applyProtection="1">
      <protection locked="0"/>
    </xf>
    <xf numFmtId="41" fontId="0" fillId="20" borderId="3" xfId="0" applyNumberFormat="1" applyFill="1" applyBorder="1" applyProtection="1">
      <protection locked="0"/>
    </xf>
    <xf numFmtId="0" fontId="0" fillId="20" borderId="4" xfId="0" applyFill="1" applyBorder="1" applyProtection="1">
      <protection locked="0"/>
    </xf>
    <xf numFmtId="0" fontId="0" fillId="20" borderId="0" xfId="0" applyFill="1" applyBorder="1" applyProtection="1">
      <protection locked="0"/>
    </xf>
    <xf numFmtId="41" fontId="3" fillId="20" borderId="5" xfId="0" applyNumberFormat="1" applyFont="1" applyFill="1" applyBorder="1" applyAlignment="1" applyProtection="1">
      <alignment horizontal="center" vertical="center"/>
      <protection locked="0"/>
    </xf>
    <xf numFmtId="3" fontId="0" fillId="20" borderId="13" xfId="0" applyNumberFormat="1" applyFill="1" applyBorder="1" applyProtection="1">
      <protection locked="0"/>
    </xf>
    <xf numFmtId="3" fontId="0" fillId="20" borderId="5" xfId="0" applyNumberFormat="1" applyFill="1" applyBorder="1" applyProtection="1">
      <protection locked="0"/>
    </xf>
    <xf numFmtId="41" fontId="0" fillId="20" borderId="4" xfId="0" applyNumberFormat="1" applyFill="1" applyBorder="1" applyProtection="1">
      <protection locked="0"/>
    </xf>
    <xf numFmtId="41" fontId="0" fillId="20" borderId="0" xfId="0" applyNumberFormat="1" applyFill="1" applyBorder="1" applyProtection="1">
      <protection locked="0"/>
    </xf>
    <xf numFmtId="41" fontId="0" fillId="20" borderId="5" xfId="0" applyNumberFormat="1" applyFill="1" applyBorder="1" applyProtection="1">
      <protection locked="0"/>
    </xf>
    <xf numFmtId="0" fontId="0" fillId="20" borderId="6" xfId="0" applyFill="1" applyBorder="1" applyProtection="1">
      <protection locked="0"/>
    </xf>
    <xf numFmtId="0" fontId="0" fillId="20" borderId="30" xfId="0" applyFill="1" applyBorder="1" applyProtection="1">
      <protection locked="0"/>
    </xf>
    <xf numFmtId="41" fontId="3" fillId="20" borderId="7" xfId="0" applyNumberFormat="1" applyFont="1" applyFill="1" applyBorder="1" applyAlignment="1" applyProtection="1">
      <alignment horizontal="center" vertical="center"/>
      <protection locked="0"/>
    </xf>
    <xf numFmtId="41" fontId="0" fillId="20" borderId="6" xfId="0" applyNumberFormat="1" applyFill="1" applyBorder="1" applyProtection="1">
      <protection locked="0"/>
    </xf>
    <xf numFmtId="41" fontId="0" fillId="20" borderId="30" xfId="0" applyNumberFormat="1" applyFill="1" applyBorder="1" applyProtection="1">
      <protection locked="0"/>
    </xf>
    <xf numFmtId="41" fontId="0" fillId="20" borderId="7" xfId="0" applyNumberFormat="1" applyFill="1" applyBorder="1" applyProtection="1">
      <protection locked="0"/>
    </xf>
    <xf numFmtId="0" fontId="0" fillId="6" borderId="62" xfId="0" applyFill="1" applyBorder="1" applyProtection="1">
      <protection locked="0"/>
    </xf>
    <xf numFmtId="41" fontId="19" fillId="6" borderId="0" xfId="0" applyNumberFormat="1" applyFont="1" applyFill="1" applyBorder="1" applyProtection="1">
      <protection locked="0"/>
    </xf>
    <xf numFmtId="0" fontId="12" fillId="8" borderId="0" xfId="0" applyFont="1" applyFill="1" applyProtection="1">
      <protection locked="0"/>
    </xf>
    <xf numFmtId="3" fontId="0" fillId="8" borderId="0" xfId="0" applyNumberFormat="1" applyFill="1" applyAlignment="1" applyProtection="1">
      <alignment wrapText="1"/>
      <protection locked="0"/>
    </xf>
    <xf numFmtId="0" fontId="0" fillId="8" borderId="0" xfId="0" applyFill="1" applyAlignment="1" applyProtection="1">
      <alignment wrapText="1"/>
      <protection locked="0"/>
    </xf>
    <xf numFmtId="0" fontId="25" fillId="8" borderId="0" xfId="0" applyFont="1" applyFill="1" applyProtection="1">
      <protection locked="0"/>
    </xf>
    <xf numFmtId="0" fontId="5" fillId="16" borderId="42" xfId="0" applyFont="1" applyFill="1" applyBorder="1" applyAlignment="1" applyProtection="1">
      <alignment horizontal="center" vertical="center"/>
      <protection locked="0"/>
    </xf>
    <xf numFmtId="0" fontId="3" fillId="16" borderId="77" xfId="0" applyFont="1" applyFill="1" applyBorder="1" applyAlignment="1" applyProtection="1">
      <alignment horizontal="center" wrapText="1"/>
      <protection locked="0"/>
    </xf>
    <xf numFmtId="0" fontId="3" fillId="16" borderId="76" xfId="0" applyFont="1" applyFill="1" applyBorder="1" applyAlignment="1" applyProtection="1">
      <alignment horizontal="center" wrapText="1"/>
      <protection locked="0"/>
    </xf>
    <xf numFmtId="0" fontId="3" fillId="8" borderId="0" xfId="0" applyFont="1" applyFill="1" applyProtection="1">
      <protection locked="0"/>
    </xf>
    <xf numFmtId="0" fontId="0" fillId="8" borderId="0" xfId="0" applyFont="1" applyFill="1" applyProtection="1">
      <protection locked="0"/>
    </xf>
    <xf numFmtId="0" fontId="0" fillId="16" borderId="4" xfId="0" applyFill="1" applyBorder="1" applyProtection="1">
      <protection locked="0"/>
    </xf>
    <xf numFmtId="0" fontId="19" fillId="16" borderId="4" xfId="0" applyFont="1" applyFill="1" applyBorder="1" applyProtection="1">
      <protection locked="0"/>
    </xf>
    <xf numFmtId="0" fontId="19" fillId="8" borderId="0" xfId="0" applyFont="1" applyFill="1" applyProtection="1">
      <protection locked="0"/>
    </xf>
    <xf numFmtId="0" fontId="24" fillId="16" borderId="74" xfId="0" applyFont="1" applyFill="1" applyBorder="1" applyProtection="1">
      <protection locked="0"/>
    </xf>
    <xf numFmtId="0" fontId="24" fillId="8" borderId="0" xfId="0" applyFont="1" applyFill="1" applyProtection="1">
      <protection locked="0"/>
    </xf>
    <xf numFmtId="0" fontId="3" fillId="16" borderId="4" xfId="0" applyFont="1" applyFill="1" applyBorder="1" applyProtection="1">
      <protection locked="0"/>
    </xf>
    <xf numFmtId="0" fontId="3" fillId="16" borderId="42" xfId="0" applyFont="1" applyFill="1" applyBorder="1" applyProtection="1">
      <protection locked="0"/>
    </xf>
    <xf numFmtId="3" fontId="3" fillId="8" borderId="0" xfId="0" applyNumberFormat="1" applyFont="1" applyFill="1" applyBorder="1" applyAlignment="1" applyProtection="1">
      <alignment wrapText="1"/>
      <protection locked="0"/>
    </xf>
    <xf numFmtId="3" fontId="0" fillId="8" borderId="0" xfId="0" applyNumberFormat="1" applyFont="1" applyFill="1" applyAlignment="1" applyProtection="1">
      <alignment wrapText="1"/>
      <protection locked="0"/>
    </xf>
    <xf numFmtId="0" fontId="3" fillId="16" borderId="42" xfId="0" applyFont="1" applyFill="1" applyBorder="1" applyAlignment="1" applyProtection="1">
      <alignment vertical="center"/>
      <protection locked="0"/>
    </xf>
    <xf numFmtId="0" fontId="3" fillId="16" borderId="57" xfId="0" applyFont="1" applyFill="1" applyBorder="1" applyAlignment="1" applyProtection="1">
      <alignment horizontal="center" wrapText="1"/>
      <protection locked="0"/>
    </xf>
    <xf numFmtId="0" fontId="3" fillId="16" borderId="50" xfId="0" applyFont="1" applyFill="1" applyBorder="1" applyProtection="1">
      <protection locked="0"/>
    </xf>
    <xf numFmtId="0" fontId="3" fillId="16" borderId="42" xfId="0" applyFont="1" applyFill="1" applyBorder="1" applyAlignment="1" applyProtection="1">
      <alignment horizontal="center" vertical="center" wrapText="1"/>
      <protection locked="0"/>
    </xf>
    <xf numFmtId="0" fontId="0" fillId="16" borderId="2" xfId="0" applyFill="1" applyBorder="1" applyProtection="1">
      <protection locked="0"/>
    </xf>
    <xf numFmtId="0" fontId="0" fillId="16" borderId="25" xfId="0" applyFill="1" applyBorder="1" applyProtection="1">
      <protection locked="0"/>
    </xf>
    <xf numFmtId="41" fontId="0" fillId="16" borderId="15" xfId="0" applyNumberFormat="1" applyFill="1" applyBorder="1" applyAlignment="1" applyProtection="1">
      <alignment wrapText="1"/>
      <protection locked="0"/>
    </xf>
    <xf numFmtId="41" fontId="0" fillId="16" borderId="23" xfId="0" applyNumberFormat="1" applyFill="1" applyBorder="1" applyAlignment="1" applyProtection="1">
      <alignment wrapText="1"/>
      <protection locked="0"/>
    </xf>
    <xf numFmtId="0" fontId="3" fillId="16" borderId="6" xfId="0" applyFont="1" applyFill="1" applyBorder="1" applyProtection="1">
      <protection locked="0"/>
    </xf>
    <xf numFmtId="0" fontId="3" fillId="16" borderId="38" xfId="0" applyFont="1" applyFill="1" applyBorder="1" applyAlignment="1" applyProtection="1">
      <alignment horizontal="center" wrapText="1"/>
      <protection locked="0"/>
    </xf>
    <xf numFmtId="0" fontId="0" fillId="8" borderId="56" xfId="0" applyFont="1" applyFill="1" applyBorder="1" applyProtection="1">
      <protection locked="0"/>
    </xf>
    <xf numFmtId="0" fontId="0" fillId="8" borderId="64" xfId="0" applyFont="1" applyFill="1" applyBorder="1" applyProtection="1">
      <protection locked="0"/>
    </xf>
    <xf numFmtId="0" fontId="3" fillId="8" borderId="64" xfId="0" applyFont="1" applyFill="1" applyBorder="1" applyProtection="1">
      <protection locked="0"/>
    </xf>
    <xf numFmtId="0" fontId="0" fillId="8" borderId="0" xfId="0" applyFont="1" applyFill="1" applyAlignment="1" applyProtection="1">
      <alignment wrapText="1"/>
      <protection locked="0"/>
    </xf>
    <xf numFmtId="0" fontId="16" fillId="16" borderId="2" xfId="3" applyFill="1" applyBorder="1" applyProtection="1">
      <protection locked="0"/>
    </xf>
    <xf numFmtId="0" fontId="3" fillId="16" borderId="20" xfId="0" applyFont="1" applyFill="1" applyBorder="1" applyProtection="1">
      <protection locked="0"/>
    </xf>
    <xf numFmtId="0" fontId="0" fillId="16" borderId="38" xfId="0" applyFill="1" applyBorder="1" applyAlignment="1" applyProtection="1">
      <alignment wrapText="1"/>
      <protection locked="0"/>
    </xf>
    <xf numFmtId="0" fontId="3" fillId="16" borderId="38" xfId="0" applyFont="1" applyFill="1" applyBorder="1" applyAlignment="1" applyProtection="1">
      <alignment wrapText="1"/>
      <protection locked="0"/>
    </xf>
    <xf numFmtId="0" fontId="0" fillId="16" borderId="50" xfId="0" applyFill="1" applyBorder="1" applyProtection="1">
      <protection locked="0"/>
    </xf>
    <xf numFmtId="0" fontId="0" fillId="8" borderId="0" xfId="0" applyFill="1" applyBorder="1" applyAlignment="1" applyProtection="1">
      <alignment wrapText="1"/>
      <protection locked="0"/>
    </xf>
    <xf numFmtId="0" fontId="16" fillId="8" borderId="0" xfId="3" applyFill="1" applyAlignment="1" applyProtection="1">
      <alignment wrapText="1"/>
      <protection locked="0"/>
    </xf>
    <xf numFmtId="0" fontId="3" fillId="16" borderId="38" xfId="0" applyFont="1" applyFill="1" applyBorder="1" applyProtection="1">
      <protection locked="0"/>
    </xf>
    <xf numFmtId="3" fontId="0" fillId="16" borderId="28" xfId="0" applyNumberFormat="1" applyFill="1" applyBorder="1" applyAlignment="1" applyProtection="1">
      <alignment wrapText="1"/>
      <protection locked="0"/>
    </xf>
    <xf numFmtId="0" fontId="0" fillId="16" borderId="4" xfId="0" applyFill="1" applyBorder="1" applyAlignment="1" applyProtection="1">
      <alignment wrapText="1"/>
      <protection locked="0"/>
    </xf>
    <xf numFmtId="0" fontId="2" fillId="8" borderId="0" xfId="0" applyFont="1" applyFill="1" applyAlignment="1" applyProtection="1">
      <alignment wrapText="1"/>
      <protection locked="0"/>
    </xf>
    <xf numFmtId="0" fontId="2" fillId="8" borderId="0" xfId="0" applyFont="1" applyFill="1" applyProtection="1">
      <protection locked="0"/>
    </xf>
    <xf numFmtId="0" fontId="16" fillId="8" borderId="8" xfId="3" applyFill="1" applyBorder="1" applyAlignment="1" applyProtection="1">
      <alignment wrapText="1"/>
      <protection locked="0"/>
    </xf>
    <xf numFmtId="0" fontId="5" fillId="16" borderId="20" xfId="0" applyFont="1" applyFill="1" applyBorder="1" applyProtection="1">
      <protection locked="0"/>
    </xf>
    <xf numFmtId="0" fontId="3" fillId="16" borderId="46" xfId="0" applyFont="1" applyFill="1" applyBorder="1" applyAlignment="1" applyProtection="1">
      <alignment wrapText="1"/>
      <protection locked="0"/>
    </xf>
    <xf numFmtId="0" fontId="3" fillId="16" borderId="17" xfId="0" applyFont="1" applyFill="1" applyBorder="1" applyAlignment="1" applyProtection="1">
      <alignment wrapText="1"/>
      <protection locked="0"/>
    </xf>
    <xf numFmtId="0" fontId="3" fillId="16" borderId="21" xfId="0" applyFont="1" applyFill="1" applyBorder="1" applyAlignment="1" applyProtection="1">
      <alignment wrapText="1"/>
      <protection locked="0"/>
    </xf>
    <xf numFmtId="0" fontId="16" fillId="8" borderId="0" xfId="3" applyFill="1" applyProtection="1">
      <protection locked="0"/>
    </xf>
    <xf numFmtId="0" fontId="3" fillId="6" borderId="31" xfId="0" applyFont="1" applyFill="1" applyBorder="1" applyProtection="1">
      <protection locked="0"/>
    </xf>
    <xf numFmtId="0" fontId="15" fillId="6" borderId="0" xfId="0" applyFont="1" applyFill="1" applyBorder="1" applyProtection="1">
      <protection locked="0"/>
    </xf>
    <xf numFmtId="0" fontId="12" fillId="6" borderId="20" xfId="0" applyFont="1" applyFill="1" applyBorder="1" applyProtection="1">
      <protection locked="0"/>
    </xf>
    <xf numFmtId="0" fontId="12" fillId="6" borderId="21" xfId="0" applyFont="1" applyFill="1" applyBorder="1" applyProtection="1">
      <protection locked="0"/>
    </xf>
    <xf numFmtId="0" fontId="0" fillId="6" borderId="64" xfId="0" applyFill="1" applyBorder="1" applyProtection="1">
      <protection locked="0"/>
    </xf>
    <xf numFmtId="0" fontId="0" fillId="6" borderId="57" xfId="0" applyFill="1" applyBorder="1" applyProtection="1">
      <protection locked="0"/>
    </xf>
    <xf numFmtId="0" fontId="5" fillId="6" borderId="20" xfId="0" applyFont="1" applyFill="1" applyBorder="1" applyProtection="1">
      <protection locked="0"/>
    </xf>
    <xf numFmtId="0" fontId="5" fillId="6" borderId="21" xfId="0" applyFont="1" applyFill="1" applyBorder="1" applyProtection="1">
      <protection locked="0"/>
    </xf>
    <xf numFmtId="0" fontId="0" fillId="6" borderId="17" xfId="0" applyFill="1" applyBorder="1" applyProtection="1">
      <protection locked="0"/>
    </xf>
    <xf numFmtId="164" fontId="0" fillId="6" borderId="0" xfId="0" applyNumberFormat="1" applyFill="1" applyBorder="1" applyProtection="1">
      <protection locked="0"/>
    </xf>
    <xf numFmtId="0" fontId="0" fillId="6" borderId="26" xfId="0" applyFill="1" applyBorder="1" applyProtection="1">
      <protection locked="0"/>
    </xf>
    <xf numFmtId="164" fontId="0" fillId="6" borderId="30" xfId="0" applyNumberFormat="1" applyFill="1" applyBorder="1" applyProtection="1">
      <protection locked="0"/>
    </xf>
    <xf numFmtId="164" fontId="0" fillId="6" borderId="0" xfId="0" applyNumberFormat="1" applyFill="1" applyProtection="1">
      <protection locked="0"/>
    </xf>
    <xf numFmtId="164" fontId="0" fillId="6" borderId="21" xfId="0" applyNumberFormat="1" applyFill="1" applyBorder="1" applyProtection="1">
      <protection locked="0"/>
    </xf>
    <xf numFmtId="0" fontId="22" fillId="6" borderId="26" xfId="0" applyFont="1" applyFill="1" applyBorder="1" applyProtection="1">
      <protection locked="0"/>
    </xf>
    <xf numFmtId="0" fontId="22" fillId="6" borderId="11" xfId="0" applyFont="1" applyFill="1" applyBorder="1" applyProtection="1">
      <protection locked="0"/>
    </xf>
    <xf numFmtId="0" fontId="0" fillId="6" borderId="9" xfId="0" applyFill="1" applyBorder="1" applyProtection="1">
      <protection locked="0"/>
    </xf>
    <xf numFmtId="0" fontId="0" fillId="6" borderId="41" xfId="0" applyFill="1" applyBorder="1" applyProtection="1">
      <protection locked="0"/>
    </xf>
    <xf numFmtId="0" fontId="0" fillId="6" borderId="4" xfId="0" applyFill="1" applyBorder="1" applyAlignment="1" applyProtection="1">
      <alignment wrapText="1"/>
      <protection locked="0"/>
    </xf>
    <xf numFmtId="0" fontId="22" fillId="6" borderId="4" xfId="0" applyFont="1" applyFill="1" applyBorder="1" applyProtection="1">
      <protection locked="0"/>
    </xf>
    <xf numFmtId="0" fontId="21" fillId="6" borderId="4" xfId="0" applyFont="1" applyFill="1" applyBorder="1" applyProtection="1">
      <protection locked="0"/>
    </xf>
    <xf numFmtId="0" fontId="21" fillId="6" borderId="0" xfId="0" applyFont="1" applyFill="1" applyBorder="1" applyProtection="1">
      <protection locked="0"/>
    </xf>
    <xf numFmtId="0" fontId="0" fillId="6" borderId="60" xfId="0" applyFill="1" applyBorder="1" applyProtection="1">
      <protection locked="0"/>
    </xf>
    <xf numFmtId="0" fontId="0" fillId="5" borderId="55" xfId="0" applyFill="1" applyBorder="1" applyProtection="1">
      <protection locked="0"/>
    </xf>
    <xf numFmtId="0" fontId="0" fillId="5" borderId="25" xfId="0" applyFill="1" applyBorder="1" applyProtection="1">
      <protection locked="0"/>
    </xf>
    <xf numFmtId="0" fontId="0" fillId="6" borderId="58" xfId="0" applyFill="1" applyBorder="1" applyProtection="1">
      <protection locked="0"/>
    </xf>
    <xf numFmtId="0" fontId="0" fillId="6" borderId="47" xfId="0" applyFill="1" applyBorder="1" applyProtection="1">
      <protection locked="0"/>
    </xf>
    <xf numFmtId="0" fontId="7" fillId="6" borderId="69" xfId="0" applyFont="1" applyFill="1" applyBorder="1" applyProtection="1">
      <protection locked="0"/>
    </xf>
    <xf numFmtId="0" fontId="0" fillId="5" borderId="48" xfId="0" applyFill="1" applyBorder="1" applyProtection="1">
      <protection locked="0"/>
    </xf>
    <xf numFmtId="0" fontId="0" fillId="5" borderId="67" xfId="0" applyFill="1" applyBorder="1" applyProtection="1">
      <protection locked="0"/>
    </xf>
    <xf numFmtId="0" fontId="0" fillId="5" borderId="41" xfId="0" applyFill="1" applyBorder="1" applyProtection="1">
      <protection locked="0"/>
    </xf>
    <xf numFmtId="0" fontId="0" fillId="5" borderId="61" xfId="0" applyFill="1" applyBorder="1" applyProtection="1">
      <protection locked="0"/>
    </xf>
    <xf numFmtId="0" fontId="7" fillId="6" borderId="26" xfId="0" applyFont="1" applyFill="1" applyBorder="1" applyProtection="1">
      <protection locked="0"/>
    </xf>
    <xf numFmtId="0" fontId="7" fillId="6" borderId="11" xfId="0" applyFont="1" applyFill="1" applyBorder="1" applyProtection="1">
      <protection locked="0"/>
    </xf>
    <xf numFmtId="0" fontId="0" fillId="5" borderId="26" xfId="0" applyFill="1" applyBorder="1" applyProtection="1">
      <protection locked="0"/>
    </xf>
    <xf numFmtId="0" fontId="3" fillId="6" borderId="43" xfId="0" applyFont="1" applyFill="1" applyBorder="1" applyProtection="1">
      <protection locked="0"/>
    </xf>
    <xf numFmtId="0" fontId="5" fillId="6" borderId="33" xfId="0" applyFont="1" applyFill="1" applyBorder="1" applyProtection="1">
      <protection locked="0"/>
    </xf>
    <xf numFmtId="0" fontId="18" fillId="6" borderId="20" xfId="0" applyFont="1" applyFill="1" applyBorder="1" applyProtection="1">
      <protection locked="0"/>
    </xf>
    <xf numFmtId="0" fontId="18" fillId="6" borderId="33" xfId="0" applyFont="1" applyFill="1" applyBorder="1" applyProtection="1">
      <protection locked="0"/>
    </xf>
    <xf numFmtId="0" fontId="0" fillId="6" borderId="17" xfId="0" applyFont="1" applyFill="1" applyBorder="1" applyProtection="1">
      <protection locked="0"/>
    </xf>
    <xf numFmtId="9" fontId="0" fillId="5" borderId="14" xfId="0" applyNumberFormat="1" applyFill="1" applyBorder="1" applyProtection="1">
      <protection locked="0"/>
    </xf>
    <xf numFmtId="9" fontId="0" fillId="5" borderId="14" xfId="2" applyFont="1" applyFill="1" applyBorder="1" applyProtection="1">
      <protection locked="0"/>
    </xf>
    <xf numFmtId="9" fontId="0" fillId="5" borderId="19" xfId="2" applyFont="1" applyFill="1" applyBorder="1" applyProtection="1">
      <protection locked="0"/>
    </xf>
    <xf numFmtId="9" fontId="0" fillId="6" borderId="0" xfId="2" applyFont="1" applyFill="1" applyBorder="1" applyProtection="1">
      <protection locked="0"/>
    </xf>
    <xf numFmtId="164" fontId="0" fillId="6" borderId="64" xfId="0" applyNumberFormat="1" applyFill="1" applyBorder="1" applyProtection="1">
      <protection locked="0"/>
    </xf>
    <xf numFmtId="9" fontId="0" fillId="5" borderId="19" xfId="0" applyNumberFormat="1" applyFill="1" applyBorder="1" applyProtection="1">
      <protection locked="0"/>
    </xf>
    <xf numFmtId="0" fontId="0" fillId="6" borderId="34" xfId="0" applyFill="1" applyBorder="1" applyProtection="1">
      <protection locked="0"/>
    </xf>
    <xf numFmtId="0" fontId="5" fillId="6" borderId="16" xfId="0" applyFont="1" applyFill="1" applyBorder="1" applyProtection="1">
      <protection locked="0"/>
    </xf>
    <xf numFmtId="0" fontId="0" fillId="5" borderId="27" xfId="0" applyFill="1" applyBorder="1" applyProtection="1">
      <protection locked="0"/>
    </xf>
    <xf numFmtId="3" fontId="0" fillId="7" borderId="0" xfId="0" applyNumberFormat="1" applyFill="1" applyProtection="1">
      <protection locked="0"/>
    </xf>
    <xf numFmtId="3" fontId="0" fillId="6" borderId="0" xfId="0" applyNumberFormat="1" applyFill="1" applyProtection="1">
      <protection locked="0"/>
    </xf>
    <xf numFmtId="0" fontId="3" fillId="6" borderId="42" xfId="0" applyFont="1" applyFill="1" applyBorder="1" applyProtection="1">
      <protection locked="0"/>
    </xf>
    <xf numFmtId="3" fontId="0" fillId="7" borderId="12" xfId="0" applyNumberFormat="1" applyFill="1" applyBorder="1" applyProtection="1">
      <protection locked="0"/>
    </xf>
    <xf numFmtId="0" fontId="7" fillId="6" borderId="68" xfId="0" applyFont="1" applyFill="1" applyBorder="1" applyProtection="1">
      <protection locked="0"/>
    </xf>
    <xf numFmtId="0" fontId="0" fillId="6" borderId="14" xfId="0" applyFont="1" applyFill="1" applyBorder="1" applyProtection="1">
      <protection locked="0"/>
    </xf>
    <xf numFmtId="0" fontId="13" fillId="6" borderId="20" xfId="0" applyFont="1" applyFill="1" applyBorder="1" applyProtection="1">
      <protection locked="0"/>
    </xf>
    <xf numFmtId="0" fontId="0" fillId="6" borderId="43" xfId="0" applyFill="1" applyBorder="1" applyProtection="1">
      <protection locked="0"/>
    </xf>
    <xf numFmtId="3" fontId="0" fillId="6" borderId="0" xfId="0" applyNumberFormat="1" applyFill="1" applyBorder="1" applyProtection="1">
      <protection locked="0"/>
    </xf>
    <xf numFmtId="0" fontId="0" fillId="6" borderId="36" xfId="0" applyFill="1" applyBorder="1" applyProtection="1">
      <protection locked="0"/>
    </xf>
    <xf numFmtId="0" fontId="20" fillId="6" borderId="0" xfId="0" applyFont="1" applyFill="1" applyProtection="1">
      <protection locked="0"/>
    </xf>
    <xf numFmtId="0" fontId="3" fillId="6" borderId="44" xfId="0" applyFont="1" applyFill="1" applyBorder="1" applyProtection="1">
      <protection locked="0"/>
    </xf>
    <xf numFmtId="0" fontId="22" fillId="6" borderId="0" xfId="0" applyFont="1" applyFill="1" applyBorder="1" applyProtection="1">
      <protection locked="0"/>
    </xf>
    <xf numFmtId="0" fontId="0" fillId="6" borderId="15" xfId="0" applyFill="1" applyBorder="1" applyProtection="1">
      <protection locked="0"/>
    </xf>
    <xf numFmtId="0" fontId="7" fillId="6" borderId="13" xfId="0" applyFont="1" applyFill="1" applyBorder="1" applyProtection="1">
      <protection locked="0"/>
    </xf>
    <xf numFmtId="0" fontId="7" fillId="6" borderId="0" xfId="0" applyFont="1" applyFill="1" applyBorder="1" applyProtection="1">
      <protection locked="0"/>
    </xf>
    <xf numFmtId="164" fontId="0" fillId="6" borderId="8" xfId="0" applyNumberFormat="1" applyFill="1" applyBorder="1" applyProtection="1">
      <protection locked="0"/>
    </xf>
    <xf numFmtId="0" fontId="3" fillId="6" borderId="20" xfId="0" applyFont="1" applyFill="1" applyBorder="1" applyAlignment="1" applyProtection="1">
      <alignment vertical="center"/>
      <protection locked="0"/>
    </xf>
    <xf numFmtId="0" fontId="3" fillId="6" borderId="21" xfId="0" applyFont="1" applyFill="1" applyBorder="1" applyAlignment="1" applyProtection="1">
      <alignment vertical="center"/>
      <protection locked="0"/>
    </xf>
    <xf numFmtId="0" fontId="24" fillId="6" borderId="33" xfId="0" applyFont="1" applyFill="1" applyBorder="1" applyAlignment="1" applyProtection="1">
      <alignment vertical="center"/>
      <protection locked="0"/>
    </xf>
    <xf numFmtId="0" fontId="3" fillId="6" borderId="18" xfId="0" applyFont="1" applyFill="1" applyBorder="1" applyAlignment="1" applyProtection="1">
      <alignment vertical="center"/>
      <protection locked="0"/>
    </xf>
    <xf numFmtId="0" fontId="3" fillId="6" borderId="0" xfId="0" applyFont="1" applyFill="1" applyBorder="1" applyAlignment="1" applyProtection="1">
      <alignment vertical="center"/>
      <protection locked="0"/>
    </xf>
    <xf numFmtId="0" fontId="0" fillId="6" borderId="0" xfId="0" applyFill="1" applyAlignment="1" applyProtection="1">
      <alignment vertical="center"/>
      <protection locked="0"/>
    </xf>
    <xf numFmtId="0" fontId="24" fillId="6" borderId="12" xfId="0" applyFont="1" applyFill="1" applyBorder="1" applyAlignment="1" applyProtection="1">
      <alignment vertical="center"/>
      <protection locked="0"/>
    </xf>
    <xf numFmtId="0" fontId="3" fillId="6" borderId="73" xfId="0" applyFont="1" applyFill="1" applyBorder="1" applyProtection="1">
      <protection locked="0"/>
    </xf>
    <xf numFmtId="0" fontId="3" fillId="6" borderId="20" xfId="0" applyFont="1" applyFill="1" applyBorder="1" applyAlignment="1" applyProtection="1">
      <alignment vertical="top"/>
      <protection locked="0"/>
    </xf>
    <xf numFmtId="167" fontId="0" fillId="6" borderId="50" xfId="0" applyNumberFormat="1" applyFill="1" applyBorder="1" applyProtection="1">
      <protection locked="0"/>
    </xf>
    <xf numFmtId="0" fontId="0" fillId="6" borderId="22" xfId="0" applyFill="1" applyBorder="1" applyAlignment="1" applyProtection="1">
      <alignment wrapText="1"/>
      <protection locked="0"/>
    </xf>
    <xf numFmtId="0" fontId="3" fillId="6" borderId="74" xfId="0" applyFont="1" applyFill="1" applyBorder="1" applyProtection="1">
      <protection locked="0"/>
    </xf>
    <xf numFmtId="3" fontId="3" fillId="6" borderId="0" xfId="0" applyNumberFormat="1" applyFont="1" applyFill="1" applyProtection="1">
      <protection locked="0"/>
    </xf>
    <xf numFmtId="0" fontId="0" fillId="6" borderId="66" xfId="0" applyFill="1" applyBorder="1" applyProtection="1">
      <protection locked="0"/>
    </xf>
    <xf numFmtId="0" fontId="3" fillId="6" borderId="55" xfId="0" applyFont="1" applyFill="1" applyBorder="1" applyProtection="1">
      <protection locked="0"/>
    </xf>
    <xf numFmtId="0" fontId="3" fillId="6" borderId="47" xfId="0" applyFont="1" applyFill="1" applyBorder="1" applyProtection="1">
      <protection locked="0"/>
    </xf>
    <xf numFmtId="0" fontId="5" fillId="6" borderId="16" xfId="0" applyFont="1" applyFill="1" applyBorder="1" applyAlignment="1" applyProtection="1">
      <alignment wrapText="1"/>
      <protection locked="0"/>
    </xf>
    <xf numFmtId="0" fontId="19" fillId="6" borderId="22" xfId="0" applyFont="1" applyFill="1" applyBorder="1" applyProtection="1">
      <protection locked="0"/>
    </xf>
    <xf numFmtId="0" fontId="19" fillId="6" borderId="37" xfId="0" applyFont="1" applyFill="1" applyBorder="1" applyProtection="1">
      <protection locked="0"/>
    </xf>
    <xf numFmtId="167" fontId="0" fillId="7" borderId="12" xfId="0" applyNumberFormat="1" applyFill="1" applyBorder="1" applyProtection="1">
      <protection locked="0"/>
    </xf>
    <xf numFmtId="4" fontId="0" fillId="7" borderId="0" xfId="0" applyNumberFormat="1" applyFill="1" applyProtection="1">
      <protection locked="0"/>
    </xf>
    <xf numFmtId="0" fontId="0" fillId="6" borderId="56" xfId="0" applyFill="1" applyBorder="1" applyProtection="1">
      <protection locked="0"/>
    </xf>
    <xf numFmtId="0" fontId="3" fillId="6" borderId="12" xfId="0" applyFont="1" applyFill="1" applyBorder="1" applyAlignment="1" applyProtection="1">
      <protection locked="0"/>
    </xf>
    <xf numFmtId="0" fontId="0" fillId="6" borderId="56" xfId="0" applyFill="1" applyBorder="1" applyAlignment="1" applyProtection="1">
      <alignment horizontal="left"/>
      <protection locked="0"/>
    </xf>
    <xf numFmtId="0" fontId="0" fillId="6" borderId="20" xfId="0" applyFill="1" applyBorder="1" applyAlignment="1" applyProtection="1">
      <alignment horizontal="center"/>
      <protection locked="0"/>
    </xf>
    <xf numFmtId="0" fontId="0" fillId="6" borderId="21" xfId="0" applyFill="1" applyBorder="1" applyAlignment="1" applyProtection="1">
      <alignment horizontal="center"/>
      <protection locked="0"/>
    </xf>
    <xf numFmtId="0" fontId="0" fillId="6" borderId="25" xfId="0" applyFill="1" applyBorder="1" applyAlignment="1" applyProtection="1">
      <alignment horizontal="center" vertical="center"/>
      <protection locked="0"/>
    </xf>
    <xf numFmtId="0" fontId="0" fillId="6" borderId="59" xfId="0" applyFill="1" applyBorder="1" applyAlignment="1" applyProtection="1">
      <alignment horizontal="center" vertical="center"/>
      <protection locked="0"/>
    </xf>
    <xf numFmtId="0" fontId="0" fillId="6" borderId="12" xfId="0" applyFill="1" applyBorder="1" applyAlignment="1" applyProtection="1">
      <alignment horizontal="left"/>
      <protection locked="0"/>
    </xf>
    <xf numFmtId="0" fontId="3" fillId="6" borderId="12" xfId="0" applyFont="1" applyFill="1" applyBorder="1" applyAlignment="1" applyProtection="1">
      <alignment horizontal="left"/>
      <protection locked="0"/>
    </xf>
    <xf numFmtId="0" fontId="30" fillId="6" borderId="12" xfId="4" applyFill="1" applyBorder="1" applyProtection="1">
      <protection locked="0"/>
    </xf>
    <xf numFmtId="0" fontId="30" fillId="6" borderId="0" xfId="4" applyFill="1" applyProtection="1">
      <protection locked="0"/>
    </xf>
    <xf numFmtId="1" fontId="0" fillId="6" borderId="0" xfId="0" applyNumberFormat="1" applyFill="1" applyBorder="1" applyProtection="1">
      <protection locked="0"/>
    </xf>
    <xf numFmtId="0" fontId="0" fillId="6" borderId="32" xfId="0" applyFill="1" applyBorder="1" applyProtection="1">
      <protection locked="0"/>
    </xf>
    <xf numFmtId="1" fontId="3" fillId="6" borderId="0" xfId="0" applyNumberFormat="1" applyFont="1" applyFill="1" applyBorder="1" applyProtection="1">
      <protection locked="0"/>
    </xf>
    <xf numFmtId="0" fontId="3" fillId="6" borderId="70" xfId="0" applyFont="1" applyFill="1" applyBorder="1" applyProtection="1">
      <protection locked="0"/>
    </xf>
    <xf numFmtId="166" fontId="0" fillId="6" borderId="0" xfId="0" applyNumberFormat="1" applyFill="1" applyProtection="1">
      <protection locked="0"/>
    </xf>
    <xf numFmtId="166" fontId="0" fillId="6" borderId="30" xfId="0" applyNumberFormat="1" applyFill="1" applyBorder="1" applyProtection="1">
      <protection locked="0"/>
    </xf>
    <xf numFmtId="0" fontId="3" fillId="6" borderId="11" xfId="0" applyFont="1" applyFill="1" applyBorder="1" applyProtection="1">
      <protection locked="0"/>
    </xf>
    <xf numFmtId="0" fontId="0" fillId="6" borderId="0" xfId="0" applyFont="1" applyFill="1" applyBorder="1" applyProtection="1">
      <protection locked="0"/>
    </xf>
    <xf numFmtId="1" fontId="0" fillId="6" borderId="30" xfId="0" applyNumberFormat="1" applyFill="1" applyBorder="1" applyProtection="1">
      <protection locked="0"/>
    </xf>
    <xf numFmtId="0" fontId="24" fillId="6" borderId="20" xfId="4" applyFont="1" applyFill="1" applyBorder="1" applyAlignment="1" applyProtection="1">
      <alignment horizontal="left" vertical="center" wrapText="1"/>
      <protection locked="0"/>
    </xf>
    <xf numFmtId="0" fontId="24" fillId="6" borderId="38" xfId="4" applyFont="1" applyFill="1" applyBorder="1" applyAlignment="1" applyProtection="1">
      <alignment horizontal="center" vertical="center" wrapText="1"/>
      <protection locked="0"/>
    </xf>
    <xf numFmtId="0" fontId="24" fillId="6" borderId="4" xfId="4" applyFont="1" applyFill="1" applyBorder="1" applyAlignment="1" applyProtection="1">
      <alignment horizontal="left" vertical="center" wrapText="1"/>
      <protection locked="0"/>
    </xf>
    <xf numFmtId="0" fontId="24" fillId="6" borderId="28" xfId="4" applyFont="1" applyFill="1" applyBorder="1" applyAlignment="1" applyProtection="1">
      <alignment horizontal="center" vertical="center" wrapText="1"/>
      <protection locked="0"/>
    </xf>
    <xf numFmtId="0" fontId="10" fillId="6" borderId="4" xfId="4" applyFont="1" applyFill="1" applyBorder="1" applyAlignment="1" applyProtection="1">
      <alignment horizontal="left" vertical="top" wrapText="1"/>
      <protection locked="0"/>
    </xf>
    <xf numFmtId="0" fontId="10" fillId="6" borderId="28" xfId="4" applyFont="1" applyFill="1" applyBorder="1" applyAlignment="1" applyProtection="1">
      <alignment horizontal="center" vertical="center"/>
      <protection locked="0"/>
    </xf>
    <xf numFmtId="0" fontId="10" fillId="6" borderId="0" xfId="4" applyFont="1" applyFill="1" applyBorder="1" applyAlignment="1" applyProtection="1">
      <alignment horizontal="center" vertical="center"/>
      <protection locked="0"/>
    </xf>
    <xf numFmtId="0" fontId="19" fillId="6" borderId="4" xfId="4" applyFont="1" applyFill="1" applyBorder="1" applyAlignment="1" applyProtection="1">
      <alignment horizontal="left" vertical="top" wrapText="1"/>
      <protection locked="0"/>
    </xf>
    <xf numFmtId="164" fontId="19" fillId="6" borderId="28" xfId="4" applyNumberFormat="1" applyFont="1" applyFill="1" applyBorder="1" applyAlignment="1" applyProtection="1">
      <alignment horizontal="center" vertical="center"/>
      <protection locked="0"/>
    </xf>
    <xf numFmtId="0" fontId="19" fillId="6" borderId="28" xfId="4" applyFont="1" applyFill="1" applyBorder="1" applyAlignment="1" applyProtection="1">
      <alignment horizontal="center" vertical="center"/>
      <protection locked="0"/>
    </xf>
    <xf numFmtId="0" fontId="10" fillId="6" borderId="0" xfId="4" applyFont="1" applyFill="1" applyBorder="1" applyAlignment="1" applyProtection="1">
      <alignment horizontal="left" vertical="top"/>
      <protection locked="0"/>
    </xf>
    <xf numFmtId="0" fontId="10" fillId="6" borderId="0" xfId="4" applyFont="1" applyFill="1" applyBorder="1" applyAlignment="1" applyProtection="1">
      <alignment horizontal="left" vertical="center"/>
      <protection locked="0"/>
    </xf>
    <xf numFmtId="0" fontId="10" fillId="5" borderId="4" xfId="4" applyFont="1" applyFill="1" applyBorder="1" applyAlignment="1" applyProtection="1">
      <alignment horizontal="left" vertical="top" wrapText="1"/>
      <protection locked="0"/>
    </xf>
    <xf numFmtId="0" fontId="1" fillId="5" borderId="28" xfId="4" applyFont="1" applyFill="1" applyBorder="1" applyAlignment="1" applyProtection="1">
      <alignment horizontal="center" vertical="center"/>
      <protection locked="0"/>
    </xf>
    <xf numFmtId="0" fontId="10" fillId="5" borderId="6" xfId="4" applyFont="1" applyFill="1" applyBorder="1" applyAlignment="1" applyProtection="1">
      <alignment horizontal="left" vertical="top" wrapText="1"/>
      <protection locked="0"/>
    </xf>
    <xf numFmtId="0" fontId="1" fillId="5" borderId="29" xfId="4" applyFont="1" applyFill="1" applyBorder="1" applyAlignment="1" applyProtection="1">
      <alignment horizontal="center" vertical="center"/>
      <protection locked="0"/>
    </xf>
    <xf numFmtId="0" fontId="1" fillId="6" borderId="0" xfId="4" applyFont="1" applyFill="1" applyBorder="1" applyAlignment="1" applyProtection="1">
      <alignment horizontal="center" vertical="center"/>
      <protection locked="0"/>
    </xf>
    <xf numFmtId="0" fontId="10" fillId="6" borderId="2" xfId="4" applyFont="1" applyFill="1" applyBorder="1" applyAlignment="1" applyProtection="1">
      <alignment horizontal="left" vertical="top" wrapText="1"/>
      <protection locked="0"/>
    </xf>
    <xf numFmtId="0" fontId="1" fillId="6" borderId="3" xfId="4" applyFont="1" applyFill="1" applyBorder="1" applyAlignment="1" applyProtection="1">
      <alignment horizontal="center" vertical="center"/>
      <protection locked="0"/>
    </xf>
    <xf numFmtId="0" fontId="24" fillId="6" borderId="18" xfId="4" applyFont="1" applyFill="1" applyBorder="1" applyAlignment="1" applyProtection="1">
      <alignment horizontal="center" vertical="center" wrapText="1"/>
      <protection locked="0"/>
    </xf>
    <xf numFmtId="0" fontId="24" fillId="6" borderId="20" xfId="4" applyFont="1" applyFill="1" applyBorder="1" applyAlignment="1" applyProtection="1">
      <alignment horizontal="center" vertical="center" wrapText="1"/>
      <protection locked="0"/>
    </xf>
    <xf numFmtId="0" fontId="10" fillId="6" borderId="25" xfId="4" applyFont="1" applyFill="1" applyBorder="1" applyAlignment="1" applyProtection="1">
      <alignment horizontal="left" vertical="top" wrapText="1"/>
      <protection locked="0"/>
    </xf>
    <xf numFmtId="0" fontId="1" fillId="6" borderId="5" xfId="4" applyFont="1" applyFill="1" applyBorder="1" applyAlignment="1" applyProtection="1">
      <alignment horizontal="center" vertical="center"/>
      <protection locked="0"/>
    </xf>
    <xf numFmtId="0" fontId="24" fillId="6" borderId="0" xfId="4" applyFont="1" applyFill="1" applyBorder="1" applyAlignment="1" applyProtection="1">
      <alignment horizontal="center" vertical="center" wrapText="1"/>
      <protection locked="0"/>
    </xf>
    <xf numFmtId="0" fontId="24" fillId="6" borderId="5" xfId="4" applyFont="1" applyFill="1" applyBorder="1" applyAlignment="1" applyProtection="1">
      <alignment horizontal="center" vertical="center" wrapText="1"/>
      <protection locked="0"/>
    </xf>
    <xf numFmtId="0" fontId="24" fillId="6" borderId="4" xfId="4" applyFont="1" applyFill="1" applyBorder="1" applyAlignment="1" applyProtection="1">
      <alignment horizontal="center" vertical="center" wrapText="1"/>
      <protection locked="0"/>
    </xf>
    <xf numFmtId="0" fontId="10" fillId="6" borderId="27" xfId="4" applyFont="1" applyFill="1" applyBorder="1" applyAlignment="1" applyProtection="1">
      <alignment horizontal="center" vertical="center"/>
      <protection locked="0"/>
    </xf>
    <xf numFmtId="0" fontId="19" fillId="6" borderId="11" xfId="4" applyFont="1" applyFill="1" applyBorder="1" applyAlignment="1" applyProtection="1">
      <alignment horizontal="center" vertical="center"/>
      <protection locked="0"/>
    </xf>
    <xf numFmtId="0" fontId="19" fillId="6" borderId="35" xfId="4" applyFont="1" applyFill="1" applyBorder="1" applyAlignment="1" applyProtection="1">
      <alignment horizontal="center" vertical="center"/>
      <protection locked="0"/>
    </xf>
    <xf numFmtId="0" fontId="10" fillId="6" borderId="26" xfId="4" applyFont="1" applyFill="1" applyBorder="1" applyAlignment="1" applyProtection="1">
      <alignment horizontal="center" vertical="center"/>
      <protection locked="0"/>
    </xf>
    <xf numFmtId="0" fontId="10" fillId="6" borderId="5" xfId="4" applyFont="1" applyFill="1" applyBorder="1" applyAlignment="1" applyProtection="1">
      <alignment horizontal="center" vertical="center"/>
      <protection locked="0"/>
    </xf>
    <xf numFmtId="0" fontId="10" fillId="6" borderId="4" xfId="4" applyFont="1" applyFill="1" applyBorder="1" applyAlignment="1" applyProtection="1">
      <alignment horizontal="center" vertical="center"/>
      <protection locked="0"/>
    </xf>
    <xf numFmtId="0" fontId="10" fillId="5" borderId="25" xfId="4" applyFont="1" applyFill="1" applyBorder="1" applyAlignment="1" applyProtection="1">
      <alignment horizontal="left" vertical="top" wrapText="1"/>
      <protection locked="0"/>
    </xf>
    <xf numFmtId="0" fontId="10" fillId="6" borderId="55" xfId="4" applyFont="1" applyFill="1" applyBorder="1" applyAlignment="1" applyProtection="1">
      <alignment horizontal="center" vertical="center"/>
      <protection locked="0"/>
    </xf>
    <xf numFmtId="0" fontId="10" fillId="5" borderId="59" xfId="4" applyFont="1" applyFill="1" applyBorder="1" applyAlignment="1" applyProtection="1">
      <alignment horizontal="center" vertical="center"/>
      <protection locked="0"/>
    </xf>
    <xf numFmtId="0" fontId="10" fillId="5" borderId="23" xfId="4" applyFont="1" applyFill="1" applyBorder="1" applyAlignment="1" applyProtection="1">
      <alignment horizontal="center" vertical="center"/>
      <protection locked="0"/>
    </xf>
    <xf numFmtId="0" fontId="10" fillId="6" borderId="25" xfId="4" applyFont="1" applyFill="1" applyBorder="1" applyAlignment="1" applyProtection="1">
      <alignment horizontal="center" vertical="center"/>
      <protection locked="0"/>
    </xf>
    <xf numFmtId="164" fontId="19" fillId="6" borderId="4" xfId="4" applyNumberFormat="1" applyFont="1" applyFill="1" applyBorder="1" applyAlignment="1" applyProtection="1">
      <alignment horizontal="center" vertical="center"/>
      <protection locked="0"/>
    </xf>
    <xf numFmtId="0" fontId="10" fillId="6" borderId="29" xfId="4" applyFont="1" applyFill="1" applyBorder="1" applyAlignment="1" applyProtection="1">
      <alignment horizontal="center" vertical="center"/>
      <protection locked="0"/>
    </xf>
    <xf numFmtId="0" fontId="10" fillId="6" borderId="30" xfId="4" applyFont="1" applyFill="1" applyBorder="1" applyAlignment="1" applyProtection="1">
      <alignment horizontal="center" vertical="center"/>
      <protection locked="0"/>
    </xf>
    <xf numFmtId="0" fontId="10" fillId="6" borderId="7" xfId="4" applyFont="1" applyFill="1" applyBorder="1" applyAlignment="1" applyProtection="1">
      <alignment horizontal="center" vertical="center"/>
      <protection locked="0"/>
    </xf>
    <xf numFmtId="164" fontId="1" fillId="5" borderId="6" xfId="4" applyNumberFormat="1" applyFont="1" applyFill="1" applyBorder="1" applyAlignment="1" applyProtection="1">
      <alignment horizontal="center" vertical="center"/>
      <protection locked="0"/>
    </xf>
    <xf numFmtId="0" fontId="24" fillId="6" borderId="20" xfId="4" applyFont="1" applyFill="1" applyBorder="1" applyAlignment="1" applyProtection="1">
      <alignment vertical="top" wrapText="1"/>
      <protection locked="0"/>
    </xf>
    <xf numFmtId="0" fontId="24" fillId="6" borderId="34" xfId="4" applyFont="1" applyFill="1" applyBorder="1" applyAlignment="1" applyProtection="1">
      <alignment horizontal="center" vertical="center" wrapText="1"/>
      <protection locked="0"/>
    </xf>
    <xf numFmtId="0" fontId="24" fillId="6" borderId="46" xfId="4" applyFont="1" applyFill="1" applyBorder="1" applyAlignment="1" applyProtection="1">
      <alignment horizontal="center" vertical="center" wrapText="1"/>
      <protection locked="0"/>
    </xf>
    <xf numFmtId="0" fontId="24" fillId="6" borderId="36" xfId="4" applyFont="1" applyFill="1" applyBorder="1" applyAlignment="1" applyProtection="1">
      <alignment vertical="top" wrapText="1"/>
      <protection locked="0"/>
    </xf>
    <xf numFmtId="0" fontId="19" fillId="6" borderId="22" xfId="4" applyFont="1" applyFill="1" applyBorder="1" applyAlignment="1" applyProtection="1">
      <alignment vertical="top" wrapText="1"/>
      <protection locked="0"/>
    </xf>
    <xf numFmtId="0" fontId="19" fillId="6" borderId="0" xfId="4" applyFont="1" applyFill="1" applyBorder="1" applyAlignment="1" applyProtection="1">
      <alignment horizontal="center" vertical="center"/>
      <protection locked="0"/>
    </xf>
    <xf numFmtId="0" fontId="19" fillId="6" borderId="44" xfId="4" applyFont="1" applyFill="1" applyBorder="1" applyAlignment="1" applyProtection="1">
      <alignment horizontal="center" vertical="center"/>
      <protection locked="0"/>
    </xf>
    <xf numFmtId="0" fontId="19" fillId="6" borderId="22" xfId="4" applyFont="1" applyFill="1" applyBorder="1" applyAlignment="1" applyProtection="1">
      <alignment horizontal="left" vertical="top" wrapText="1"/>
      <protection locked="0"/>
    </xf>
    <xf numFmtId="0" fontId="19" fillId="6" borderId="0" xfId="4" applyFont="1" applyFill="1" applyBorder="1" applyAlignment="1" applyProtection="1">
      <alignment horizontal="center"/>
      <protection locked="0"/>
    </xf>
    <xf numFmtId="164" fontId="19" fillId="6" borderId="0" xfId="4" applyNumberFormat="1" applyFont="1" applyFill="1" applyBorder="1" applyAlignment="1" applyProtection="1">
      <alignment horizontal="center" vertical="center"/>
      <protection locked="0"/>
    </xf>
    <xf numFmtId="0" fontId="10" fillId="6" borderId="22" xfId="4" applyFont="1" applyFill="1" applyBorder="1" applyAlignment="1" applyProtection="1">
      <alignment vertical="top" wrapText="1"/>
      <protection locked="0"/>
    </xf>
    <xf numFmtId="0" fontId="10" fillId="5" borderId="22" xfId="4" applyFont="1" applyFill="1" applyBorder="1" applyAlignment="1" applyProtection="1">
      <alignment vertical="top" wrapText="1"/>
      <protection locked="0"/>
    </xf>
    <xf numFmtId="0" fontId="10" fillId="5" borderId="0" xfId="4" applyFont="1" applyFill="1" applyBorder="1" applyAlignment="1" applyProtection="1">
      <alignment horizontal="center" vertical="center"/>
      <protection locked="0"/>
    </xf>
    <xf numFmtId="0" fontId="10" fillId="5" borderId="37" xfId="4" applyFont="1" applyFill="1" applyBorder="1" applyAlignment="1" applyProtection="1">
      <alignment vertical="top" wrapText="1"/>
      <protection locked="0"/>
    </xf>
    <xf numFmtId="0" fontId="10" fillId="5" borderId="30" xfId="4" applyFont="1" applyFill="1" applyBorder="1" applyAlignment="1" applyProtection="1">
      <alignment horizontal="center" vertical="center"/>
      <protection locked="0"/>
    </xf>
    <xf numFmtId="0" fontId="0" fillId="6" borderId="38" xfId="0" applyFill="1" applyBorder="1" applyAlignment="1" applyProtection="1">
      <alignment horizontal="center" vertical="center"/>
      <protection locked="0"/>
    </xf>
    <xf numFmtId="0" fontId="0" fillId="6" borderId="16" xfId="0" applyFill="1" applyBorder="1" applyAlignment="1" applyProtection="1">
      <alignment horizontal="right"/>
      <protection locked="0"/>
    </xf>
    <xf numFmtId="49" fontId="0" fillId="6" borderId="22" xfId="0" applyNumberFormat="1" applyFill="1" applyBorder="1" applyAlignment="1" applyProtection="1">
      <alignment horizontal="right"/>
      <protection locked="0"/>
    </xf>
    <xf numFmtId="0" fontId="16" fillId="6" borderId="0" xfId="3" applyFill="1" applyBorder="1" applyProtection="1">
      <protection locked="0"/>
    </xf>
    <xf numFmtId="49" fontId="0" fillId="6" borderId="6" xfId="0" applyNumberFormat="1" applyFill="1" applyBorder="1" applyAlignment="1" applyProtection="1">
      <alignment horizontal="right"/>
      <protection locked="0"/>
    </xf>
    <xf numFmtId="0" fontId="0" fillId="6" borderId="41" xfId="0" applyFill="1" applyBorder="1" applyAlignment="1" applyProtection="1">
      <alignment horizontal="center" vertical="center"/>
      <protection locked="0"/>
    </xf>
    <xf numFmtId="0" fontId="19" fillId="6" borderId="6" xfId="4" applyFont="1" applyFill="1" applyBorder="1" applyAlignment="1" applyProtection="1">
      <alignment horizontal="left" vertical="top" wrapText="1"/>
      <protection locked="0"/>
    </xf>
    <xf numFmtId="0" fontId="19" fillId="6" borderId="0" xfId="4" applyFont="1" applyFill="1" applyBorder="1" applyAlignment="1" applyProtection="1">
      <alignment horizontal="left" vertical="top" wrapText="1"/>
      <protection locked="0"/>
    </xf>
    <xf numFmtId="49" fontId="0" fillId="6" borderId="0" xfId="0" applyNumberFormat="1" applyFill="1" applyBorder="1" applyAlignment="1" applyProtection="1">
      <alignment horizontal="center" vertical="center"/>
      <protection locked="0"/>
    </xf>
    <xf numFmtId="0" fontId="19" fillId="6" borderId="20" xfId="4" applyFont="1" applyFill="1" applyBorder="1" applyAlignment="1" applyProtection="1">
      <alignment horizontal="left" vertical="top" wrapText="1"/>
      <protection locked="0"/>
    </xf>
    <xf numFmtId="0" fontId="0" fillId="6" borderId="0" xfId="0" applyFill="1" applyBorder="1" applyAlignment="1" applyProtection="1">
      <alignment horizontal="right"/>
      <protection locked="0"/>
    </xf>
    <xf numFmtId="49" fontId="0" fillId="6" borderId="0" xfId="0" applyNumberFormat="1" applyFill="1" applyBorder="1" applyAlignment="1" applyProtection="1">
      <alignment horizontal="right"/>
      <protection locked="0"/>
    </xf>
    <xf numFmtId="41" fontId="0" fillId="12" borderId="5" xfId="0" applyNumberFormat="1" applyFill="1" applyBorder="1" applyProtection="1"/>
    <xf numFmtId="41" fontId="0" fillId="6" borderId="5" xfId="0" applyNumberFormat="1" applyFill="1" applyBorder="1" applyProtection="1"/>
    <xf numFmtId="41" fontId="0" fillId="15" borderId="36" xfId="0" applyNumberFormat="1" applyFill="1" applyBorder="1" applyProtection="1"/>
    <xf numFmtId="41" fontId="0" fillId="15" borderId="69" xfId="0" applyNumberFormat="1" applyFill="1" applyBorder="1" applyProtection="1"/>
    <xf numFmtId="41" fontId="0" fillId="15" borderId="35" xfId="0" applyNumberFormat="1" applyFill="1" applyBorder="1" applyProtection="1"/>
    <xf numFmtId="41" fontId="0" fillId="6" borderId="35" xfId="0" applyNumberFormat="1" applyFill="1" applyBorder="1" applyProtection="1"/>
    <xf numFmtId="41" fontId="0" fillId="15" borderId="78" xfId="0" applyNumberFormat="1" applyFill="1" applyBorder="1" applyProtection="1"/>
    <xf numFmtId="41" fontId="0" fillId="15" borderId="60" xfId="0" applyNumberFormat="1" applyFill="1" applyBorder="1" applyProtection="1"/>
    <xf numFmtId="41" fontId="0" fillId="15" borderId="23" xfId="0" applyNumberFormat="1" applyFill="1" applyBorder="1" applyProtection="1"/>
    <xf numFmtId="41" fontId="0" fillId="6" borderId="23" xfId="0" applyNumberFormat="1" applyFill="1" applyBorder="1" applyProtection="1"/>
    <xf numFmtId="41" fontId="0" fillId="8" borderId="36" xfId="0" applyNumberFormat="1" applyFill="1" applyBorder="1" applyProtection="1"/>
    <xf numFmtId="41" fontId="0" fillId="8" borderId="69" xfId="0" applyNumberFormat="1" applyFill="1" applyBorder="1" applyProtection="1"/>
    <xf numFmtId="41" fontId="0" fillId="8" borderId="35" xfId="0" applyNumberFormat="1" applyFill="1" applyBorder="1" applyProtection="1"/>
    <xf numFmtId="41" fontId="0" fillId="8" borderId="22" xfId="0" applyNumberFormat="1" applyFill="1" applyBorder="1" applyProtection="1"/>
    <xf numFmtId="41" fontId="0" fillId="8" borderId="13" xfId="0" applyNumberFormat="1" applyFill="1" applyBorder="1" applyProtection="1"/>
    <xf numFmtId="41" fontId="0" fillId="8" borderId="5" xfId="0" applyNumberFormat="1" applyFill="1" applyBorder="1" applyProtection="1"/>
    <xf numFmtId="41" fontId="0" fillId="8" borderId="78" xfId="0" applyNumberFormat="1" applyFill="1" applyBorder="1" applyProtection="1"/>
    <xf numFmtId="41" fontId="0" fillId="8" borderId="60" xfId="0" applyNumberFormat="1" applyFill="1" applyBorder="1" applyProtection="1"/>
    <xf numFmtId="41" fontId="0" fillId="8" borderId="23" xfId="0" applyNumberFormat="1" applyFill="1" applyBorder="1" applyProtection="1"/>
    <xf numFmtId="41" fontId="0" fillId="18" borderId="36" xfId="0" applyNumberFormat="1" applyFill="1" applyBorder="1" applyProtection="1"/>
    <xf numFmtId="41" fontId="0" fillId="18" borderId="69" xfId="0" applyNumberFormat="1" applyFill="1" applyBorder="1" applyProtection="1"/>
    <xf numFmtId="41" fontId="0" fillId="18" borderId="35" xfId="0" applyNumberFormat="1" applyFill="1" applyBorder="1" applyProtection="1"/>
    <xf numFmtId="41" fontId="0" fillId="18" borderId="22" xfId="0" applyNumberFormat="1" applyFill="1" applyBorder="1" applyProtection="1"/>
    <xf numFmtId="41" fontId="0" fillId="18" borderId="13" xfId="0" applyNumberFormat="1" applyFill="1" applyBorder="1" applyProtection="1"/>
    <xf numFmtId="41" fontId="0" fillId="18" borderId="5" xfId="0" applyNumberFormat="1" applyFill="1" applyBorder="1" applyProtection="1"/>
    <xf numFmtId="41" fontId="0" fillId="11" borderId="36" xfId="0" applyNumberFormat="1" applyFill="1" applyBorder="1" applyProtection="1"/>
    <xf numFmtId="41" fontId="0" fillId="11" borderId="69" xfId="0" applyNumberFormat="1" applyFill="1" applyBorder="1" applyProtection="1"/>
    <xf numFmtId="41" fontId="0" fillId="11" borderId="35" xfId="0" applyNumberFormat="1" applyFill="1" applyBorder="1" applyProtection="1"/>
    <xf numFmtId="41" fontId="0" fillId="11" borderId="22" xfId="0" applyNumberFormat="1" applyFill="1" applyBorder="1" applyProtection="1"/>
    <xf numFmtId="41" fontId="0" fillId="11" borderId="13" xfId="0" applyNumberFormat="1" applyFill="1" applyBorder="1" applyProtection="1"/>
    <xf numFmtId="41" fontId="0" fillId="11" borderId="5" xfId="0" applyNumberFormat="1" applyFill="1" applyBorder="1" applyProtection="1"/>
    <xf numFmtId="3" fontId="0" fillId="12" borderId="0" xfId="0" applyNumberFormat="1" applyFill="1" applyBorder="1" applyProtection="1"/>
    <xf numFmtId="3" fontId="0" fillId="12" borderId="28" xfId="0" applyNumberFormat="1" applyFill="1" applyBorder="1" applyProtection="1"/>
    <xf numFmtId="3" fontId="0" fillId="15" borderId="0" xfId="0" applyNumberFormat="1" applyFill="1" applyBorder="1" applyProtection="1"/>
    <xf numFmtId="3" fontId="0" fillId="15" borderId="28" xfId="0" applyNumberFormat="1" applyFill="1" applyBorder="1" applyProtection="1"/>
    <xf numFmtId="3" fontId="0" fillId="8" borderId="0" xfId="0" applyNumberFormat="1" applyFill="1" applyBorder="1" applyProtection="1"/>
    <xf numFmtId="3" fontId="0" fillId="8" borderId="28" xfId="0" applyNumberFormat="1" applyFill="1" applyBorder="1" applyProtection="1"/>
    <xf numFmtId="3" fontId="0" fillId="11" borderId="0" xfId="0" applyNumberFormat="1" applyFill="1" applyBorder="1" applyProtection="1"/>
    <xf numFmtId="3" fontId="0" fillId="11" borderId="28" xfId="0" applyNumberFormat="1" applyFill="1" applyBorder="1" applyProtection="1"/>
    <xf numFmtId="3" fontId="0" fillId="18" borderId="0" xfId="0" applyNumberFormat="1" applyFill="1" applyBorder="1" applyProtection="1"/>
    <xf numFmtId="3" fontId="0" fillId="18" borderId="28" xfId="0" applyNumberFormat="1" applyFill="1" applyBorder="1" applyProtection="1"/>
    <xf numFmtId="3" fontId="0" fillId="6" borderId="51" xfId="0" applyNumberFormat="1" applyFill="1" applyBorder="1" applyProtection="1"/>
    <xf numFmtId="3" fontId="0" fillId="6" borderId="39" xfId="0" applyNumberFormat="1" applyFill="1" applyBorder="1" applyProtection="1"/>
    <xf numFmtId="0" fontId="0" fillId="6" borderId="2" xfId="0" applyFill="1" applyBorder="1" applyProtection="1"/>
    <xf numFmtId="0" fontId="0" fillId="6" borderId="4" xfId="0" applyFill="1" applyBorder="1" applyProtection="1"/>
    <xf numFmtId="3" fontId="0" fillId="20" borderId="22" xfId="0" applyNumberFormat="1" applyFill="1" applyBorder="1" applyProtection="1"/>
    <xf numFmtId="3" fontId="0" fillId="20" borderId="13" xfId="0" applyNumberFormat="1" applyFill="1" applyBorder="1" applyProtection="1"/>
    <xf numFmtId="3" fontId="0" fillId="20" borderId="37" xfId="0" applyNumberFormat="1" applyFill="1" applyBorder="1" applyProtection="1"/>
    <xf numFmtId="3" fontId="0" fillId="20" borderId="32" xfId="0" applyNumberFormat="1" applyFill="1" applyBorder="1" applyProtection="1"/>
    <xf numFmtId="3" fontId="0" fillId="20" borderId="7" xfId="0" applyNumberFormat="1" applyFill="1" applyBorder="1" applyProtection="1"/>
    <xf numFmtId="41" fontId="0" fillId="16" borderId="14" xfId="0" applyNumberFormat="1" applyFill="1" applyBorder="1" applyAlignment="1" applyProtection="1">
      <alignment wrapText="1"/>
    </xf>
    <xf numFmtId="41" fontId="0" fillId="16" borderId="5" xfId="0" applyNumberFormat="1" applyFill="1" applyBorder="1" applyAlignment="1" applyProtection="1">
      <alignment wrapText="1"/>
    </xf>
    <xf numFmtId="41" fontId="19" fillId="16" borderId="14" xfId="0" applyNumberFormat="1" applyFont="1" applyFill="1" applyBorder="1" applyAlignment="1" applyProtection="1">
      <alignment wrapText="1"/>
    </xf>
    <xf numFmtId="41" fontId="19" fillId="16" borderId="5" xfId="0" applyNumberFormat="1" applyFont="1" applyFill="1" applyBorder="1" applyAlignment="1" applyProtection="1">
      <alignment wrapText="1"/>
    </xf>
    <xf numFmtId="3" fontId="24" fillId="16" borderId="71" xfId="0" applyNumberFormat="1" applyFont="1" applyFill="1" applyBorder="1" applyAlignment="1" applyProtection="1">
      <alignment wrapText="1"/>
    </xf>
    <xf numFmtId="3" fontId="24" fillId="16" borderId="39" xfId="0" applyNumberFormat="1" applyFont="1" applyFill="1" applyBorder="1" applyAlignment="1" applyProtection="1">
      <alignment wrapText="1"/>
    </xf>
    <xf numFmtId="3" fontId="3" fillId="16" borderId="77" xfId="0" applyNumberFormat="1" applyFont="1" applyFill="1" applyBorder="1" applyAlignment="1" applyProtection="1">
      <alignment wrapText="1"/>
    </xf>
    <xf numFmtId="3" fontId="3" fillId="16" borderId="76" xfId="0" applyNumberFormat="1" applyFont="1" applyFill="1" applyBorder="1" applyAlignment="1" applyProtection="1">
      <alignment wrapText="1"/>
    </xf>
    <xf numFmtId="41" fontId="3" fillId="16" borderId="71" xfId="0" applyNumberFormat="1" applyFont="1" applyFill="1" applyBorder="1" applyAlignment="1" applyProtection="1">
      <alignment wrapText="1"/>
    </xf>
    <xf numFmtId="41" fontId="3" fillId="16" borderId="52" xfId="0" applyNumberFormat="1" applyFont="1" applyFill="1" applyBorder="1" applyAlignment="1" applyProtection="1">
      <alignment wrapText="1"/>
    </xf>
    <xf numFmtId="41" fontId="0" fillId="16" borderId="73" xfId="0" applyNumberFormat="1" applyFill="1" applyBorder="1" applyAlignment="1" applyProtection="1">
      <alignment wrapText="1"/>
    </xf>
    <xf numFmtId="41" fontId="0" fillId="16" borderId="3" xfId="0" applyNumberFormat="1" applyFill="1" applyBorder="1" applyAlignment="1" applyProtection="1">
      <alignment wrapText="1"/>
    </xf>
    <xf numFmtId="41" fontId="0" fillId="16" borderId="15" xfId="0" applyNumberFormat="1" applyFill="1" applyBorder="1" applyAlignment="1" applyProtection="1">
      <alignment wrapText="1"/>
    </xf>
    <xf numFmtId="41" fontId="3" fillId="16" borderId="19" xfId="0" applyNumberFormat="1" applyFont="1" applyFill="1" applyBorder="1" applyAlignment="1" applyProtection="1">
      <alignment wrapText="1"/>
    </xf>
    <xf numFmtId="41" fontId="3" fillId="16" borderId="7" xfId="0" applyNumberFormat="1" applyFont="1" applyFill="1" applyBorder="1" applyAlignment="1" applyProtection="1">
      <alignment wrapText="1"/>
    </xf>
    <xf numFmtId="41" fontId="0" fillId="16" borderId="28" xfId="0" applyNumberFormat="1" applyFill="1" applyBorder="1" applyAlignment="1" applyProtection="1">
      <alignment wrapText="1"/>
    </xf>
    <xf numFmtId="41" fontId="0" fillId="16" borderId="39" xfId="0" applyNumberFormat="1" applyFill="1" applyBorder="1" applyAlignment="1" applyProtection="1">
      <alignment wrapText="1"/>
    </xf>
    <xf numFmtId="3" fontId="0" fillId="16" borderId="28" xfId="0" applyNumberFormat="1" applyFill="1" applyBorder="1" applyAlignment="1" applyProtection="1">
      <alignment wrapText="1"/>
    </xf>
    <xf numFmtId="3" fontId="19" fillId="16" borderId="28" xfId="0" applyNumberFormat="1" applyFont="1" applyFill="1" applyBorder="1" applyAlignment="1" applyProtection="1">
      <alignment wrapText="1"/>
    </xf>
    <xf numFmtId="3" fontId="0" fillId="16" borderId="39" xfId="0" applyNumberFormat="1" applyFill="1" applyBorder="1" applyAlignment="1" applyProtection="1">
      <alignment wrapText="1"/>
    </xf>
    <xf numFmtId="3" fontId="0" fillId="16" borderId="44" xfId="0" applyNumberFormat="1" applyFill="1" applyBorder="1" applyAlignment="1" applyProtection="1">
      <alignment wrapText="1"/>
    </xf>
    <xf numFmtId="3" fontId="0" fillId="16" borderId="49" xfId="0" applyNumberFormat="1" applyFill="1" applyBorder="1" applyAlignment="1" applyProtection="1">
      <alignment wrapText="1"/>
    </xf>
    <xf numFmtId="3" fontId="0" fillId="16" borderId="14" xfId="0" applyNumberFormat="1" applyFill="1" applyBorder="1" applyAlignment="1" applyProtection="1">
      <alignment wrapText="1"/>
    </xf>
    <xf numFmtId="41" fontId="19" fillId="16" borderId="0" xfId="0" applyNumberFormat="1" applyFont="1" applyFill="1" applyBorder="1" applyProtection="1"/>
    <xf numFmtId="3" fontId="0" fillId="16" borderId="71" xfId="0" applyNumberFormat="1" applyFill="1" applyBorder="1" applyAlignment="1" applyProtection="1">
      <alignment wrapText="1"/>
    </xf>
    <xf numFmtId="0" fontId="0" fillId="6" borderId="10" xfId="0" applyFill="1" applyBorder="1" applyProtection="1"/>
    <xf numFmtId="0" fontId="0" fillId="6" borderId="11" xfId="0" applyFill="1" applyBorder="1" applyProtection="1"/>
    <xf numFmtId="0" fontId="0" fillId="6" borderId="35" xfId="0" applyFill="1" applyBorder="1" applyProtection="1"/>
    <xf numFmtId="0" fontId="0" fillId="6" borderId="5" xfId="0" applyFill="1" applyBorder="1" applyProtection="1"/>
    <xf numFmtId="0" fontId="0" fillId="6" borderId="7" xfId="0" applyFill="1" applyBorder="1" applyProtection="1"/>
    <xf numFmtId="164" fontId="0" fillId="6" borderId="0" xfId="0" applyNumberFormat="1" applyFill="1" applyBorder="1" applyProtection="1"/>
    <xf numFmtId="164" fontId="0" fillId="6" borderId="30" xfId="0" applyNumberFormat="1" applyFill="1" applyBorder="1" applyProtection="1"/>
    <xf numFmtId="0" fontId="0" fillId="6" borderId="44" xfId="0" applyFill="1" applyBorder="1" applyProtection="1"/>
    <xf numFmtId="0" fontId="0" fillId="6" borderId="45" xfId="0" applyFill="1" applyBorder="1" applyProtection="1"/>
    <xf numFmtId="0" fontId="0" fillId="6" borderId="26" xfId="0" applyFill="1" applyBorder="1" applyProtection="1"/>
    <xf numFmtId="3" fontId="0" fillId="6" borderId="27" xfId="0" applyNumberFormat="1" applyFill="1" applyBorder="1" applyProtection="1"/>
    <xf numFmtId="3" fontId="0" fillId="6" borderId="28" xfId="0" applyNumberFormat="1" applyFill="1" applyBorder="1" applyProtection="1"/>
    <xf numFmtId="0" fontId="0" fillId="6" borderId="59" xfId="0" applyFill="1" applyBorder="1" applyProtection="1"/>
    <xf numFmtId="0" fontId="0" fillId="6" borderId="23" xfId="0" applyFill="1" applyBorder="1" applyProtection="1"/>
    <xf numFmtId="0" fontId="0" fillId="6" borderId="25" xfId="0" applyFill="1" applyBorder="1" applyProtection="1"/>
    <xf numFmtId="3" fontId="0" fillId="6" borderId="55" xfId="0" applyNumberFormat="1" applyFill="1" applyBorder="1" applyProtection="1"/>
    <xf numFmtId="0" fontId="0" fillId="6" borderId="6" xfId="0" applyFill="1" applyBorder="1" applyProtection="1"/>
    <xf numFmtId="3" fontId="0" fillId="6" borderId="29" xfId="0" applyNumberFormat="1" applyFill="1" applyBorder="1" applyProtection="1"/>
    <xf numFmtId="0" fontId="0" fillId="6" borderId="67" xfId="0" applyFill="1" applyBorder="1" applyProtection="1"/>
    <xf numFmtId="0" fontId="0" fillId="6" borderId="62" xfId="0" applyFill="1" applyBorder="1" applyProtection="1"/>
    <xf numFmtId="0" fontId="0" fillId="6" borderId="24" xfId="0" applyFill="1" applyBorder="1" applyProtection="1"/>
    <xf numFmtId="164" fontId="0" fillId="6" borderId="59" xfId="0" applyNumberFormat="1" applyFill="1" applyBorder="1" applyProtection="1"/>
    <xf numFmtId="0" fontId="0" fillId="6" borderId="58" xfId="0" applyFill="1" applyBorder="1" applyProtection="1"/>
    <xf numFmtId="0" fontId="0" fillId="6" borderId="47" xfId="0" applyFill="1" applyBorder="1" applyProtection="1"/>
    <xf numFmtId="0" fontId="0" fillId="6" borderId="29" xfId="0" applyFill="1" applyBorder="1" applyProtection="1"/>
    <xf numFmtId="3" fontId="0" fillId="7" borderId="28" xfId="0" applyNumberFormat="1" applyFill="1" applyBorder="1" applyProtection="1"/>
    <xf numFmtId="3" fontId="0" fillId="7" borderId="0" xfId="0" applyNumberFormat="1" applyFill="1" applyProtection="1"/>
    <xf numFmtId="3" fontId="0" fillId="7" borderId="29" xfId="0" applyNumberFormat="1" applyFill="1" applyBorder="1" applyProtection="1"/>
    <xf numFmtId="3" fontId="0" fillId="7" borderId="30" xfId="0" applyNumberFormat="1" applyFill="1" applyBorder="1" applyProtection="1"/>
    <xf numFmtId="3" fontId="0" fillId="7" borderId="27" xfId="0" applyNumberFormat="1" applyFill="1" applyBorder="1" applyProtection="1"/>
    <xf numFmtId="3" fontId="0" fillId="9" borderId="7" xfId="0" applyNumberFormat="1" applyFill="1" applyBorder="1" applyProtection="1"/>
    <xf numFmtId="3" fontId="0" fillId="7" borderId="12" xfId="0" applyNumberFormat="1" applyFill="1" applyBorder="1" applyProtection="1"/>
    <xf numFmtId="3" fontId="0" fillId="7" borderId="44" xfId="0" applyNumberFormat="1" applyFill="1" applyBorder="1" applyProtection="1"/>
    <xf numFmtId="3" fontId="0" fillId="7" borderId="31" xfId="0" applyNumberFormat="1" applyFill="1" applyBorder="1" applyProtection="1"/>
    <xf numFmtId="3" fontId="0" fillId="7" borderId="45" xfId="0" applyNumberFormat="1" applyFill="1" applyBorder="1" applyProtection="1"/>
    <xf numFmtId="3" fontId="0" fillId="7" borderId="10" xfId="0" applyNumberFormat="1" applyFill="1" applyBorder="1" applyProtection="1"/>
    <xf numFmtId="3" fontId="0" fillId="7" borderId="47" xfId="0" applyNumberFormat="1" applyFill="1" applyBorder="1" applyProtection="1"/>
    <xf numFmtId="3" fontId="0" fillId="7" borderId="58" xfId="0" applyNumberFormat="1" applyFill="1" applyBorder="1" applyProtection="1"/>
    <xf numFmtId="3" fontId="0" fillId="7" borderId="48" xfId="0" applyNumberFormat="1" applyFill="1" applyBorder="1" applyProtection="1"/>
    <xf numFmtId="3" fontId="0" fillId="7" borderId="67" xfId="0" applyNumberFormat="1" applyFill="1" applyBorder="1" applyProtection="1"/>
    <xf numFmtId="3" fontId="0" fillId="7" borderId="66" xfId="0" applyNumberFormat="1" applyFill="1" applyBorder="1" applyProtection="1"/>
    <xf numFmtId="3" fontId="0" fillId="7" borderId="5" xfId="0" applyNumberFormat="1" applyFill="1" applyBorder="1" applyProtection="1"/>
    <xf numFmtId="3" fontId="0" fillId="7" borderId="7" xfId="0" applyNumberFormat="1" applyFill="1" applyBorder="1" applyProtection="1"/>
    <xf numFmtId="3" fontId="0" fillId="7" borderId="35" xfId="0" applyNumberFormat="1" applyFill="1" applyBorder="1" applyProtection="1"/>
    <xf numFmtId="3" fontId="0" fillId="7" borderId="0" xfId="0" applyNumberFormat="1" applyFill="1" applyBorder="1" applyProtection="1"/>
    <xf numFmtId="41" fontId="0" fillId="10" borderId="19" xfId="0" applyNumberFormat="1" applyFill="1" applyBorder="1" applyProtection="1"/>
    <xf numFmtId="166" fontId="0" fillId="6" borderId="6" xfId="0" applyNumberFormat="1" applyFill="1" applyBorder="1" applyProtection="1"/>
    <xf numFmtId="166" fontId="0" fillId="6" borderId="31" xfId="0" applyNumberFormat="1" applyFill="1" applyBorder="1" applyProtection="1"/>
    <xf numFmtId="166" fontId="0" fillId="6" borderId="4" xfId="0" applyNumberFormat="1" applyFill="1" applyBorder="1" applyProtection="1"/>
    <xf numFmtId="168" fontId="0" fillId="10" borderId="68" xfId="0" applyNumberFormat="1" applyFill="1" applyBorder="1" applyProtection="1"/>
    <xf numFmtId="2" fontId="0" fillId="6" borderId="6" xfId="0" applyNumberFormat="1" applyFill="1" applyBorder="1" applyProtection="1"/>
    <xf numFmtId="41" fontId="0" fillId="10" borderId="12" xfId="0" applyNumberFormat="1" applyFill="1" applyBorder="1" applyProtection="1"/>
    <xf numFmtId="41" fontId="0" fillId="10" borderId="31" xfId="0" applyNumberFormat="1" applyFill="1" applyBorder="1" applyProtection="1"/>
    <xf numFmtId="3" fontId="0" fillId="6" borderId="5" xfId="0" applyNumberFormat="1" applyFill="1" applyBorder="1" applyProtection="1"/>
    <xf numFmtId="3" fontId="0" fillId="6" borderId="52" xfId="0" applyNumberFormat="1" applyFill="1" applyBorder="1" applyProtection="1"/>
    <xf numFmtId="3" fontId="3" fillId="7" borderId="52" xfId="0" applyNumberFormat="1" applyFont="1" applyFill="1" applyBorder="1" applyProtection="1"/>
    <xf numFmtId="3" fontId="0" fillId="7" borderId="55" xfId="0" applyNumberFormat="1" applyFill="1" applyBorder="1" applyProtection="1"/>
    <xf numFmtId="3" fontId="0" fillId="7" borderId="41" xfId="0" applyNumberFormat="1" applyFill="1" applyBorder="1" applyProtection="1"/>
    <xf numFmtId="0" fontId="0" fillId="6" borderId="36" xfId="0" applyFill="1" applyBorder="1" applyProtection="1"/>
    <xf numFmtId="0" fontId="0" fillId="6" borderId="22" xfId="0" applyFill="1" applyBorder="1" applyProtection="1"/>
    <xf numFmtId="0" fontId="0" fillId="6" borderId="37" xfId="0" applyFill="1" applyBorder="1" applyProtection="1"/>
    <xf numFmtId="3" fontId="19" fillId="7" borderId="5" xfId="0" applyNumberFormat="1" applyFont="1" applyFill="1" applyBorder="1" applyProtection="1"/>
    <xf numFmtId="3" fontId="0" fillId="7" borderId="40" xfId="0" applyNumberFormat="1" applyFill="1" applyBorder="1" applyProtection="1"/>
    <xf numFmtId="3" fontId="0" fillId="7" borderId="51" xfId="0" applyNumberFormat="1" applyFill="1" applyBorder="1" applyProtection="1"/>
    <xf numFmtId="3" fontId="0" fillId="7" borderId="52" xfId="0" applyNumberFormat="1" applyFill="1" applyBorder="1" applyProtection="1"/>
    <xf numFmtId="41" fontId="0" fillId="6" borderId="0" xfId="0" applyNumberFormat="1" applyFill="1" applyProtection="1"/>
    <xf numFmtId="0" fontId="0" fillId="6" borderId="28" xfId="0" applyFill="1" applyBorder="1" applyProtection="1"/>
    <xf numFmtId="41" fontId="0" fillId="17" borderId="5" xfId="0" applyNumberFormat="1" applyFill="1" applyBorder="1" applyProtection="1"/>
    <xf numFmtId="41" fontId="0" fillId="17" borderId="7" xfId="0" applyNumberFormat="1" applyFill="1" applyBorder="1" applyProtection="1"/>
    <xf numFmtId="164" fontId="0" fillId="6" borderId="4" xfId="0" applyNumberFormat="1" applyFill="1" applyBorder="1" applyProtection="1"/>
    <xf numFmtId="164" fontId="0" fillId="6" borderId="5" xfId="0" applyNumberFormat="1" applyFill="1" applyBorder="1" applyProtection="1"/>
    <xf numFmtId="0" fontId="0" fillId="6" borderId="51" xfId="0" applyFill="1" applyBorder="1" applyProtection="1"/>
    <xf numFmtId="0" fontId="0" fillId="6" borderId="50" xfId="0" applyFill="1" applyBorder="1" applyProtection="1"/>
    <xf numFmtId="0" fontId="0" fillId="6" borderId="52" xfId="0" applyFill="1" applyBorder="1" applyProtection="1"/>
    <xf numFmtId="2" fontId="19" fillId="6" borderId="0" xfId="4" applyNumberFormat="1" applyFont="1" applyFill="1" applyBorder="1" applyAlignment="1" applyProtection="1">
      <alignment horizontal="center" vertical="center"/>
    </xf>
    <xf numFmtId="0" fontId="19" fillId="6" borderId="0" xfId="4" applyFont="1" applyFill="1" applyBorder="1" applyAlignment="1" applyProtection="1">
      <alignment horizontal="center" vertical="center"/>
    </xf>
    <xf numFmtId="2" fontId="19" fillId="6" borderId="44" xfId="4" applyNumberFormat="1" applyFont="1" applyFill="1" applyBorder="1" applyAlignment="1" applyProtection="1">
      <alignment horizontal="center" vertical="center"/>
    </xf>
    <xf numFmtId="0" fontId="19" fillId="6" borderId="44" xfId="4" applyFont="1" applyFill="1" applyBorder="1" applyAlignment="1" applyProtection="1">
      <alignment horizontal="center" vertical="center"/>
    </xf>
    <xf numFmtId="0" fontId="19" fillId="6" borderId="45" xfId="4" applyFont="1" applyFill="1" applyBorder="1" applyAlignment="1" applyProtection="1">
      <alignment horizontal="center" vertical="center"/>
    </xf>
    <xf numFmtId="3" fontId="0" fillId="6" borderId="13" xfId="0" applyNumberFormat="1" applyFill="1" applyBorder="1" applyProtection="1"/>
    <xf numFmtId="3" fontId="0" fillId="6" borderId="0" xfId="0" applyNumberFormat="1" applyFill="1" applyProtection="1"/>
    <xf numFmtId="3" fontId="0" fillId="6" borderId="0" xfId="0" applyNumberFormat="1" applyFill="1" applyBorder="1" applyProtection="1"/>
    <xf numFmtId="3" fontId="0" fillId="6" borderId="12" xfId="0" applyNumberFormat="1" applyFill="1" applyBorder="1" applyProtection="1"/>
    <xf numFmtId="0" fontId="0" fillId="6" borderId="13" xfId="0" applyFill="1" applyBorder="1" applyProtection="1"/>
    <xf numFmtId="1" fontId="3" fillId="6" borderId="40" xfId="0" applyNumberFormat="1" applyFont="1" applyFill="1" applyBorder="1" applyProtection="1"/>
    <xf numFmtId="1" fontId="3" fillId="6" borderId="51" xfId="0" applyNumberFormat="1" applyFont="1" applyFill="1" applyBorder="1" applyProtection="1"/>
    <xf numFmtId="1" fontId="3" fillId="6" borderId="65" xfId="0" applyNumberFormat="1" applyFont="1" applyFill="1" applyBorder="1" applyProtection="1"/>
    <xf numFmtId="1" fontId="3" fillId="6" borderId="52" xfId="0" applyNumberFormat="1" applyFont="1" applyFill="1" applyBorder="1" applyProtection="1"/>
    <xf numFmtId="1" fontId="0" fillId="6" borderId="5" xfId="0" applyNumberFormat="1" applyFill="1" applyBorder="1" applyProtection="1"/>
    <xf numFmtId="1" fontId="0" fillId="6" borderId="7" xfId="0" applyNumberFormat="1" applyFill="1" applyBorder="1" applyProtection="1"/>
    <xf numFmtId="0" fontId="3" fillId="6" borderId="6" xfId="0" applyFont="1" applyFill="1" applyBorder="1" applyProtection="1"/>
    <xf numFmtId="41" fontId="0" fillId="16" borderId="51" xfId="0" applyNumberFormat="1" applyFill="1" applyBorder="1" applyProtection="1"/>
    <xf numFmtId="14" fontId="0" fillId="21" borderId="9" xfId="0" applyNumberFormat="1" applyFill="1" applyBorder="1" applyAlignment="1">
      <alignment horizontal="center" vertical="top" wrapText="1"/>
    </xf>
    <xf numFmtId="0" fontId="0" fillId="6" borderId="0" xfId="0" applyFill="1" applyBorder="1" applyAlignment="1" applyProtection="1">
      <alignment horizontal="center"/>
      <protection locked="0"/>
    </xf>
    <xf numFmtId="0" fontId="0" fillId="6" borderId="5" xfId="0" applyFill="1" applyBorder="1" applyAlignment="1" applyProtection="1">
      <alignment horizontal="center"/>
      <protection locked="0"/>
    </xf>
    <xf numFmtId="0" fontId="0" fillId="5" borderId="0" xfId="0" applyFill="1" applyBorder="1" applyAlignment="1" applyProtection="1">
      <alignment horizontal="center"/>
      <protection locked="0"/>
    </xf>
    <xf numFmtId="0" fontId="3" fillId="6" borderId="0" xfId="0" applyFont="1" applyFill="1" applyBorder="1" applyAlignment="1" applyProtection="1">
      <alignment horizontal="left"/>
      <protection locked="0"/>
    </xf>
    <xf numFmtId="0" fontId="0" fillId="5" borderId="30" xfId="0" applyFill="1" applyBorder="1" applyAlignment="1" applyProtection="1">
      <alignment horizontal="center"/>
      <protection locked="0"/>
    </xf>
    <xf numFmtId="0" fontId="3" fillId="6" borderId="0" xfId="0" applyFont="1" applyFill="1" applyBorder="1" applyAlignment="1" applyProtection="1">
      <alignment horizontal="center"/>
      <protection locked="0"/>
    </xf>
    <xf numFmtId="0" fontId="24" fillId="6" borderId="21" xfId="4" applyFont="1" applyFill="1" applyBorder="1" applyAlignment="1" applyProtection="1">
      <alignment horizontal="center" vertical="center" wrapText="1"/>
      <protection locked="0"/>
    </xf>
    <xf numFmtId="49" fontId="0" fillId="6" borderId="28" xfId="0" applyNumberFormat="1" applyFill="1" applyBorder="1" applyAlignment="1" applyProtection="1">
      <alignment horizontal="center" vertical="center"/>
      <protection locked="0"/>
    </xf>
    <xf numFmtId="49" fontId="0" fillId="6" borderId="29" xfId="0" applyNumberFormat="1" applyFill="1" applyBorder="1" applyAlignment="1" applyProtection="1">
      <alignment horizontal="center" vertical="center"/>
      <protection locked="0"/>
    </xf>
    <xf numFmtId="0" fontId="0" fillId="6" borderId="0" xfId="0" applyFill="1" applyBorder="1" applyAlignment="1" applyProtection="1">
      <alignment horizontal="left" wrapText="1"/>
      <protection locked="0"/>
    </xf>
    <xf numFmtId="0" fontId="0" fillId="6" borderId="4" xfId="0" applyFill="1" applyBorder="1" applyAlignment="1" applyProtection="1">
      <alignment horizontal="left"/>
      <protection locked="0"/>
    </xf>
    <xf numFmtId="0" fontId="0" fillId="6" borderId="0" xfId="0" applyFill="1" applyBorder="1" applyAlignment="1" applyProtection="1">
      <alignment horizontal="left"/>
      <protection locked="0"/>
    </xf>
    <xf numFmtId="0" fontId="3" fillId="6" borderId="8" xfId="0" applyFont="1" applyFill="1" applyBorder="1" applyAlignment="1" applyProtection="1">
      <alignment horizontal="center"/>
      <protection locked="0"/>
    </xf>
    <xf numFmtId="0" fontId="3" fillId="6" borderId="3" xfId="0" applyFont="1" applyFill="1" applyBorder="1" applyAlignment="1" applyProtection="1">
      <alignment horizontal="center"/>
      <protection locked="0"/>
    </xf>
    <xf numFmtId="0" fontId="26" fillId="8" borderId="12" xfId="0" applyFont="1" applyFill="1" applyBorder="1" applyProtection="1">
      <protection locked="0"/>
    </xf>
    <xf numFmtId="0" fontId="3" fillId="16" borderId="73" xfId="0" applyFont="1" applyFill="1" applyBorder="1" applyAlignment="1" applyProtection="1">
      <alignment horizontal="center" wrapText="1"/>
      <protection locked="0"/>
    </xf>
    <xf numFmtId="0" fontId="3" fillId="16" borderId="54" xfId="0" applyFont="1" applyFill="1" applyBorder="1" applyAlignment="1" applyProtection="1">
      <alignment horizontal="center" wrapText="1"/>
      <protection locked="0"/>
    </xf>
    <xf numFmtId="0" fontId="3" fillId="16" borderId="56" xfId="0" applyFont="1" applyFill="1" applyBorder="1" applyProtection="1">
      <protection locked="0"/>
    </xf>
    <xf numFmtId="41" fontId="3" fillId="16" borderId="76" xfId="0" applyNumberFormat="1" applyFont="1" applyFill="1" applyBorder="1" applyAlignment="1" applyProtection="1">
      <alignment wrapText="1"/>
    </xf>
    <xf numFmtId="0" fontId="3" fillId="6" borderId="2" xfId="0" applyFont="1" applyFill="1" applyBorder="1" applyAlignment="1" applyProtection="1">
      <alignment horizontal="center"/>
      <protection locked="0"/>
    </xf>
    <xf numFmtId="3" fontId="0" fillId="13" borderId="22" xfId="0" applyNumberFormat="1" applyFill="1" applyBorder="1" applyProtection="1">
      <protection locked="0"/>
    </xf>
    <xf numFmtId="3" fontId="0" fillId="13" borderId="13" xfId="0" applyNumberFormat="1" applyFill="1" applyBorder="1" applyProtection="1">
      <protection locked="0"/>
    </xf>
    <xf numFmtId="41" fontId="0" fillId="12" borderId="22" xfId="0" applyNumberFormat="1" applyFill="1" applyBorder="1" applyProtection="1"/>
    <xf numFmtId="41" fontId="0" fillId="12" borderId="13" xfId="0" applyNumberFormat="1" applyFill="1" applyBorder="1" applyProtection="1"/>
    <xf numFmtId="0" fontId="3" fillId="6" borderId="57" xfId="0" applyFont="1" applyFill="1" applyBorder="1" applyProtection="1">
      <protection locked="0"/>
    </xf>
    <xf numFmtId="0" fontId="3" fillId="6" borderId="56" xfId="0" applyFont="1" applyFill="1" applyBorder="1" applyAlignment="1" applyProtection="1">
      <alignment horizontal="center" wrapText="1"/>
      <protection locked="0"/>
    </xf>
    <xf numFmtId="0" fontId="3" fillId="6" borderId="64" xfId="0" applyFont="1" applyFill="1" applyBorder="1" applyAlignment="1" applyProtection="1">
      <alignment horizontal="center" wrapText="1"/>
      <protection locked="0"/>
    </xf>
    <xf numFmtId="0" fontId="3" fillId="6" borderId="57" xfId="0" applyFont="1" applyFill="1" applyBorder="1" applyAlignment="1" applyProtection="1">
      <alignment horizontal="center" wrapText="1"/>
      <protection locked="0"/>
    </xf>
    <xf numFmtId="0" fontId="0" fillId="8" borderId="53" xfId="0" applyFill="1" applyBorder="1" applyProtection="1">
      <protection locked="0"/>
    </xf>
    <xf numFmtId="0" fontId="0" fillId="8" borderId="3" xfId="0" applyFill="1" applyBorder="1" applyProtection="1">
      <protection locked="0"/>
    </xf>
    <xf numFmtId="0" fontId="0" fillId="8" borderId="58" xfId="0" applyFill="1" applyBorder="1" applyProtection="1">
      <protection locked="0"/>
    </xf>
    <xf numFmtId="0" fontId="0" fillId="8" borderId="23" xfId="0" applyFill="1" applyBorder="1" applyProtection="1">
      <protection locked="0"/>
    </xf>
    <xf numFmtId="0" fontId="3" fillId="8" borderId="31" xfId="0" applyFont="1" applyFill="1" applyBorder="1" applyProtection="1">
      <protection locked="0"/>
    </xf>
    <xf numFmtId="0" fontId="0" fillId="8" borderId="8" xfId="0" applyFill="1" applyBorder="1" applyAlignment="1" applyProtection="1">
      <alignment horizontal="right"/>
      <protection locked="0"/>
    </xf>
    <xf numFmtId="0" fontId="0" fillId="8" borderId="0" xfId="0" applyFill="1" applyBorder="1" applyAlignment="1" applyProtection="1">
      <alignment horizontal="right"/>
      <protection locked="0"/>
    </xf>
    <xf numFmtId="0" fontId="0" fillId="8" borderId="5" xfId="0" applyFill="1" applyBorder="1" applyProtection="1">
      <protection locked="0"/>
    </xf>
    <xf numFmtId="0" fontId="0" fillId="8" borderId="30" xfId="0" applyFill="1" applyBorder="1" applyAlignment="1" applyProtection="1">
      <alignment horizontal="right"/>
      <protection locked="0"/>
    </xf>
    <xf numFmtId="41" fontId="0" fillId="6" borderId="6" xfId="0" applyNumberFormat="1" applyFill="1" applyBorder="1" applyProtection="1">
      <protection locked="0"/>
    </xf>
    <xf numFmtId="41" fontId="0" fillId="6" borderId="30" xfId="0" applyNumberFormat="1" applyFill="1" applyBorder="1" applyProtection="1">
      <protection locked="0"/>
    </xf>
    <xf numFmtId="41" fontId="0" fillId="6" borderId="40" xfId="0" applyNumberFormat="1" applyFill="1" applyBorder="1" applyProtection="1">
      <protection locked="0"/>
    </xf>
    <xf numFmtId="41" fontId="0" fillId="6" borderId="64" xfId="0" applyNumberFormat="1" applyFill="1" applyBorder="1" applyProtection="1">
      <protection locked="0"/>
    </xf>
    <xf numFmtId="41" fontId="0" fillId="21" borderId="64" xfId="0" applyNumberFormat="1" applyFill="1" applyBorder="1" applyProtection="1">
      <protection locked="0"/>
    </xf>
    <xf numFmtId="0" fontId="0" fillId="17" borderId="56" xfId="0" applyFill="1" applyBorder="1" applyProtection="1">
      <protection locked="0"/>
    </xf>
    <xf numFmtId="0" fontId="0" fillId="17" borderId="64" xfId="0" applyFill="1" applyBorder="1" applyProtection="1">
      <protection locked="0"/>
    </xf>
    <xf numFmtId="0" fontId="0" fillId="17" borderId="64" xfId="0" applyFont="1" applyFill="1" applyBorder="1" applyProtection="1">
      <protection locked="0"/>
    </xf>
    <xf numFmtId="0" fontId="3" fillId="6" borderId="80" xfId="0" applyFont="1" applyFill="1" applyBorder="1" applyProtection="1">
      <protection locked="0"/>
    </xf>
    <xf numFmtId="41" fontId="0" fillId="21" borderId="81" xfId="0" applyNumberFormat="1" applyFill="1" applyBorder="1" applyProtection="1">
      <protection locked="0"/>
    </xf>
    <xf numFmtId="41" fontId="0" fillId="21" borderId="77" xfId="0" applyNumberFormat="1" applyFill="1" applyBorder="1" applyProtection="1">
      <protection locked="0"/>
    </xf>
    <xf numFmtId="0" fontId="3" fillId="17" borderId="57" xfId="0" applyFont="1" applyFill="1" applyBorder="1" applyAlignment="1" applyProtection="1">
      <alignment horizontal="center" vertical="center"/>
      <protection locked="0"/>
    </xf>
    <xf numFmtId="41" fontId="3" fillId="6" borderId="0" xfId="0" applyNumberFormat="1" applyFont="1" applyFill="1" applyBorder="1" applyAlignment="1" applyProtection="1">
      <alignment horizontal="center" vertical="center"/>
      <protection locked="0"/>
    </xf>
    <xf numFmtId="0" fontId="3" fillId="6" borderId="80" xfId="0" applyFont="1" applyFill="1" applyBorder="1" applyAlignment="1" applyProtection="1">
      <alignment vertical="center"/>
      <protection locked="0"/>
    </xf>
    <xf numFmtId="0" fontId="3" fillId="6" borderId="4" xfId="0" applyFont="1" applyFill="1" applyBorder="1" applyAlignment="1" applyProtection="1">
      <alignment horizontal="center"/>
      <protection locked="0"/>
    </xf>
    <xf numFmtId="41" fontId="0" fillId="8" borderId="6" xfId="0" applyNumberFormat="1" applyFill="1" applyBorder="1" applyProtection="1"/>
    <xf numFmtId="41" fontId="0" fillId="8" borderId="39" xfId="0" applyNumberFormat="1" applyFill="1" applyBorder="1" applyProtection="1"/>
    <xf numFmtId="41" fontId="3" fillId="8" borderId="20" xfId="0" applyNumberFormat="1" applyFont="1" applyFill="1" applyBorder="1" applyProtection="1">
      <protection locked="0"/>
    </xf>
    <xf numFmtId="41" fontId="3" fillId="8" borderId="38" xfId="0" applyNumberFormat="1" applyFont="1" applyFill="1" applyBorder="1" applyProtection="1">
      <protection locked="0"/>
    </xf>
    <xf numFmtId="0" fontId="3" fillId="8" borderId="61" xfId="0" applyFont="1" applyFill="1" applyBorder="1" applyProtection="1">
      <protection locked="0"/>
    </xf>
    <xf numFmtId="0" fontId="3" fillId="8" borderId="62" xfId="0" applyFont="1" applyFill="1" applyBorder="1" applyProtection="1">
      <protection locked="0"/>
    </xf>
    <xf numFmtId="0" fontId="3" fillId="8" borderId="67" xfId="0" applyFont="1" applyFill="1" applyBorder="1" applyProtection="1">
      <protection locked="0"/>
    </xf>
    <xf numFmtId="0" fontId="3" fillId="8" borderId="24" xfId="0" applyFont="1" applyFill="1" applyBorder="1" applyProtection="1">
      <protection locked="0"/>
    </xf>
    <xf numFmtId="41" fontId="3" fillId="8" borderId="61" xfId="0" applyNumberFormat="1" applyFont="1" applyFill="1" applyBorder="1" applyProtection="1">
      <protection locked="0"/>
    </xf>
    <xf numFmtId="41" fontId="3" fillId="8" borderId="41" xfId="0" applyNumberFormat="1" applyFont="1" applyFill="1" applyBorder="1" applyProtection="1">
      <protection locked="0"/>
    </xf>
    <xf numFmtId="0" fontId="0" fillId="6" borderId="73" xfId="0" applyFill="1" applyBorder="1" applyProtection="1">
      <protection locked="0"/>
    </xf>
    <xf numFmtId="0" fontId="0" fillId="6" borderId="14" xfId="0" applyFill="1" applyBorder="1" applyProtection="1">
      <protection locked="0"/>
    </xf>
    <xf numFmtId="41" fontId="0" fillId="10" borderId="77" xfId="0" applyNumberFormat="1" applyFill="1" applyBorder="1" applyProtection="1"/>
    <xf numFmtId="0" fontId="0" fillId="8" borderId="19" xfId="0" applyFill="1" applyBorder="1" applyAlignment="1" applyProtection="1">
      <alignment horizontal="right"/>
    </xf>
    <xf numFmtId="41" fontId="0" fillId="17" borderId="42" xfId="0" applyNumberFormat="1" applyFill="1" applyBorder="1" applyProtection="1"/>
    <xf numFmtId="41" fontId="0" fillId="17" borderId="77" xfId="0" applyNumberFormat="1" applyFill="1" applyBorder="1" applyProtection="1"/>
    <xf numFmtId="41" fontId="0" fillId="17" borderId="75" xfId="0" applyNumberFormat="1" applyFill="1" applyBorder="1" applyProtection="1"/>
    <xf numFmtId="41" fontId="0" fillId="17" borderId="80" xfId="0" applyNumberFormat="1" applyFill="1" applyBorder="1" applyProtection="1"/>
    <xf numFmtId="3" fontId="0" fillId="6" borderId="64" xfId="0" applyNumberFormat="1" applyFill="1" applyBorder="1" applyProtection="1">
      <protection locked="0"/>
    </xf>
    <xf numFmtId="0" fontId="3" fillId="6" borderId="4" xfId="0" applyFont="1" applyFill="1" applyBorder="1" applyProtection="1"/>
    <xf numFmtId="0" fontId="0" fillId="6" borderId="58" xfId="0" applyFill="1" applyBorder="1" applyAlignment="1" applyProtection="1">
      <alignment horizontal="center"/>
    </xf>
    <xf numFmtId="0" fontId="0" fillId="6" borderId="59" xfId="0" applyFill="1" applyBorder="1" applyAlignment="1" applyProtection="1">
      <alignment horizontal="center"/>
    </xf>
    <xf numFmtId="0" fontId="0" fillId="6" borderId="60" xfId="0" applyFill="1" applyBorder="1" applyAlignment="1" applyProtection="1">
      <alignment horizontal="center"/>
    </xf>
    <xf numFmtId="0" fontId="0" fillId="6" borderId="23" xfId="0" applyFill="1" applyBorder="1" applyAlignment="1" applyProtection="1">
      <alignment horizontal="center"/>
    </xf>
    <xf numFmtId="0" fontId="3" fillId="6" borderId="26" xfId="0" applyFont="1" applyFill="1" applyBorder="1" applyProtection="1"/>
    <xf numFmtId="0" fontId="0" fillId="6" borderId="69" xfId="0" applyFill="1" applyBorder="1" applyProtection="1"/>
    <xf numFmtId="3" fontId="0" fillId="6" borderId="11" xfId="0" applyNumberFormat="1" applyFill="1" applyBorder="1" applyProtection="1"/>
    <xf numFmtId="1" fontId="0" fillId="6" borderId="11" xfId="0" applyNumberFormat="1" applyFill="1" applyBorder="1" applyProtection="1"/>
    <xf numFmtId="3" fontId="0" fillId="6" borderId="10" xfId="0" applyNumberFormat="1" applyFill="1" applyBorder="1" applyProtection="1"/>
    <xf numFmtId="0" fontId="3" fillId="6" borderId="50" xfId="0" applyFont="1" applyFill="1" applyBorder="1" applyProtection="1"/>
    <xf numFmtId="1" fontId="0" fillId="6" borderId="0" xfId="0" applyNumberFormat="1" applyFill="1" applyProtection="1"/>
    <xf numFmtId="1" fontId="0" fillId="6" borderId="3" xfId="0" applyNumberFormat="1" applyFill="1" applyBorder="1" applyProtection="1"/>
    <xf numFmtId="9" fontId="0" fillId="6" borderId="30" xfId="0" applyNumberFormat="1" applyFill="1" applyBorder="1" applyProtection="1">
      <protection locked="0"/>
    </xf>
    <xf numFmtId="0" fontId="16" fillId="21" borderId="22" xfId="3" applyFill="1" applyBorder="1" applyAlignment="1">
      <alignment vertical="top"/>
    </xf>
    <xf numFmtId="0" fontId="16" fillId="21" borderId="78" xfId="3" applyFill="1" applyBorder="1" applyAlignment="1">
      <alignment vertical="top"/>
    </xf>
    <xf numFmtId="0" fontId="0" fillId="21" borderId="28" xfId="0" applyFill="1" applyBorder="1" applyAlignment="1">
      <alignment horizontal="left" vertical="top" wrapText="1"/>
    </xf>
    <xf numFmtId="0" fontId="0" fillId="21" borderId="2" xfId="0" applyFill="1" applyBorder="1" applyAlignment="1">
      <alignment horizontal="left" vertical="top" wrapText="1"/>
    </xf>
    <xf numFmtId="0" fontId="0" fillId="21" borderId="3" xfId="0" applyFill="1" applyBorder="1" applyAlignment="1">
      <alignment horizontal="left" vertical="top" wrapText="1"/>
    </xf>
    <xf numFmtId="0" fontId="0" fillId="21" borderId="4" xfId="0" applyFill="1" applyBorder="1" applyAlignment="1">
      <alignment horizontal="left" vertical="top" wrapText="1"/>
    </xf>
    <xf numFmtId="0" fontId="0" fillId="21" borderId="5" xfId="0" applyFill="1" applyBorder="1" applyAlignment="1">
      <alignment horizontal="left" vertical="top" wrapText="1"/>
    </xf>
    <xf numFmtId="0" fontId="0" fillId="21" borderId="6" xfId="0" applyFill="1" applyBorder="1" applyAlignment="1">
      <alignment horizontal="left" vertical="top" wrapText="1"/>
    </xf>
    <xf numFmtId="0" fontId="0" fillId="21" borderId="7" xfId="0" applyFill="1" applyBorder="1" applyAlignment="1">
      <alignment horizontal="left" vertical="top" wrapText="1"/>
    </xf>
    <xf numFmtId="14" fontId="0" fillId="21" borderId="68" xfId="0" applyNumberFormat="1" applyFill="1" applyBorder="1" applyAlignment="1">
      <alignment horizontal="center" vertical="top" wrapText="1"/>
    </xf>
    <xf numFmtId="14" fontId="0" fillId="21" borderId="14" xfId="0" applyNumberFormat="1" applyFill="1" applyBorder="1" applyAlignment="1">
      <alignment horizontal="center" vertical="top" wrapText="1"/>
    </xf>
    <xf numFmtId="14" fontId="0" fillId="21" borderId="15" xfId="0" applyNumberFormat="1" applyFill="1" applyBorder="1" applyAlignment="1">
      <alignment horizontal="center" vertical="top" wrapText="1"/>
    </xf>
    <xf numFmtId="14" fontId="0" fillId="21" borderId="68" xfId="0" applyNumberFormat="1" applyFill="1" applyBorder="1" applyAlignment="1">
      <alignment horizontal="center" vertical="center" wrapText="1"/>
    </xf>
    <xf numFmtId="14" fontId="0" fillId="21" borderId="14" xfId="0" applyNumberFormat="1" applyFill="1" applyBorder="1" applyAlignment="1">
      <alignment horizontal="center" vertical="center" wrapText="1"/>
    </xf>
    <xf numFmtId="14" fontId="0" fillId="21" borderId="15" xfId="0" applyNumberFormat="1" applyFill="1" applyBorder="1" applyAlignment="1">
      <alignment horizontal="center" vertical="center" wrapText="1"/>
    </xf>
    <xf numFmtId="0" fontId="3" fillId="8" borderId="2" xfId="0" applyFont="1" applyFill="1" applyBorder="1" applyAlignment="1" applyProtection="1">
      <alignment horizontal="center"/>
      <protection locked="0"/>
    </xf>
    <xf numFmtId="0" fontId="3" fillId="8" borderId="8" xfId="0" applyFont="1" applyFill="1" applyBorder="1" applyAlignment="1" applyProtection="1">
      <alignment horizontal="center"/>
      <protection locked="0"/>
    </xf>
    <xf numFmtId="41" fontId="3" fillId="8" borderId="53" xfId="0" applyNumberFormat="1" applyFont="1" applyFill="1" applyBorder="1" applyAlignment="1" applyProtection="1">
      <alignment horizontal="center"/>
      <protection locked="0"/>
    </xf>
    <xf numFmtId="41" fontId="3" fillId="8" borderId="3" xfId="0" applyNumberFormat="1" applyFont="1" applyFill="1" applyBorder="1" applyAlignment="1" applyProtection="1">
      <alignment horizontal="center"/>
      <protection locked="0"/>
    </xf>
    <xf numFmtId="0" fontId="3" fillId="6" borderId="56" xfId="0" applyFont="1" applyFill="1" applyBorder="1" applyAlignment="1" applyProtection="1">
      <alignment horizontal="center"/>
      <protection locked="0"/>
    </xf>
    <xf numFmtId="0" fontId="3" fillId="6" borderId="64" xfId="0" applyFont="1" applyFill="1" applyBorder="1" applyAlignment="1" applyProtection="1">
      <alignment horizontal="center"/>
      <protection locked="0"/>
    </xf>
    <xf numFmtId="0" fontId="3" fillId="6" borderId="57" xfId="0" applyFont="1" applyFill="1" applyBorder="1" applyAlignment="1" applyProtection="1">
      <alignment horizontal="center"/>
      <protection locked="0"/>
    </xf>
    <xf numFmtId="0" fontId="19" fillId="6" borderId="6" xfId="0" applyFont="1" applyFill="1" applyBorder="1" applyAlignment="1" applyProtection="1">
      <alignment horizontal="left" vertical="top" wrapText="1"/>
      <protection locked="0"/>
    </xf>
    <xf numFmtId="0" fontId="19" fillId="6" borderId="30" xfId="0" applyFont="1" applyFill="1" applyBorder="1" applyAlignment="1" applyProtection="1">
      <alignment horizontal="left" vertical="top" wrapText="1"/>
      <protection locked="0"/>
    </xf>
    <xf numFmtId="0" fontId="19" fillId="6" borderId="7" xfId="0" applyFont="1" applyFill="1" applyBorder="1" applyAlignment="1" applyProtection="1">
      <alignment horizontal="left" vertical="top" wrapText="1"/>
      <protection locked="0"/>
    </xf>
    <xf numFmtId="0" fontId="23" fillId="6" borderId="2" xfId="0" applyFont="1" applyFill="1" applyBorder="1" applyAlignment="1" applyProtection="1">
      <alignment horizontal="center" vertical="top"/>
      <protection locked="0"/>
    </xf>
    <xf numFmtId="0" fontId="23" fillId="6" borderId="8" xfId="0" applyFont="1" applyFill="1" applyBorder="1" applyAlignment="1" applyProtection="1">
      <alignment horizontal="center" vertical="top"/>
      <protection locked="0"/>
    </xf>
    <xf numFmtId="0" fontId="23" fillId="6" borderId="3" xfId="0" applyFont="1" applyFill="1" applyBorder="1" applyAlignment="1" applyProtection="1">
      <alignment horizontal="center" vertical="top"/>
      <protection locked="0"/>
    </xf>
    <xf numFmtId="0" fontId="23" fillId="6" borderId="4" xfId="0" applyFont="1" applyFill="1" applyBorder="1" applyAlignment="1" applyProtection="1">
      <alignment horizontal="center" vertical="top"/>
      <protection locked="0"/>
    </xf>
    <xf numFmtId="0" fontId="23" fillId="6" borderId="0" xfId="0" applyFont="1" applyFill="1" applyBorder="1" applyAlignment="1" applyProtection="1">
      <alignment horizontal="center" vertical="top"/>
      <protection locked="0"/>
    </xf>
    <xf numFmtId="0" fontId="23" fillId="6" borderId="5" xfId="0" applyFont="1" applyFill="1" applyBorder="1" applyAlignment="1" applyProtection="1">
      <alignment horizontal="center" vertical="top"/>
      <protection locked="0"/>
    </xf>
    <xf numFmtId="0" fontId="24" fillId="6" borderId="56" xfId="0" applyFont="1" applyFill="1" applyBorder="1" applyAlignment="1" applyProtection="1">
      <alignment horizontal="center"/>
      <protection locked="0"/>
    </xf>
    <xf numFmtId="0" fontId="24" fillId="6" borderId="64" xfId="0" applyFont="1" applyFill="1" applyBorder="1" applyAlignment="1" applyProtection="1">
      <alignment horizontal="center"/>
      <protection locked="0"/>
    </xf>
    <xf numFmtId="0" fontId="24" fillId="6" borderId="56" xfId="0" applyFont="1" applyFill="1" applyBorder="1" applyAlignment="1" applyProtection="1">
      <alignment horizontal="center" vertical="top" wrapText="1"/>
      <protection locked="0"/>
    </xf>
    <xf numFmtId="0" fontId="24" fillId="6" borderId="64" xfId="0" applyFont="1" applyFill="1" applyBorder="1" applyAlignment="1" applyProtection="1">
      <alignment horizontal="center" vertical="top" wrapText="1"/>
      <protection locked="0"/>
    </xf>
    <xf numFmtId="0" fontId="24" fillId="6" borderId="57" xfId="0" applyFont="1" applyFill="1" applyBorder="1" applyAlignment="1" applyProtection="1">
      <alignment horizontal="center" vertical="top" wrapText="1"/>
      <protection locked="0"/>
    </xf>
    <xf numFmtId="0" fontId="3" fillId="6" borderId="56" xfId="0" applyFont="1" applyFill="1" applyBorder="1" applyAlignment="1" applyProtection="1">
      <alignment horizontal="center" wrapText="1"/>
      <protection locked="0"/>
    </xf>
    <xf numFmtId="0" fontId="3" fillId="6" borderId="64" xfId="0" applyFont="1" applyFill="1" applyBorder="1" applyAlignment="1" applyProtection="1">
      <alignment horizontal="center" wrapText="1"/>
      <protection locked="0"/>
    </xf>
    <xf numFmtId="0" fontId="3" fillId="6" borderId="57" xfId="0" applyFont="1" applyFill="1" applyBorder="1" applyAlignment="1" applyProtection="1">
      <alignment horizontal="center" wrapText="1"/>
      <protection locked="0"/>
    </xf>
    <xf numFmtId="0" fontId="0" fillId="8" borderId="2" xfId="0" applyFill="1" applyBorder="1" applyAlignment="1" applyProtection="1">
      <alignment horizontal="left" wrapText="1"/>
      <protection locked="0"/>
    </xf>
    <xf numFmtId="0" fontId="0" fillId="8" borderId="8" xfId="0" applyFill="1" applyBorder="1" applyAlignment="1" applyProtection="1">
      <alignment horizontal="left" wrapText="1"/>
      <protection locked="0"/>
    </xf>
    <xf numFmtId="0" fontId="0" fillId="8" borderId="63" xfId="0" applyFill="1" applyBorder="1" applyAlignment="1" applyProtection="1">
      <alignment horizontal="left" wrapText="1"/>
      <protection locked="0"/>
    </xf>
    <xf numFmtId="0" fontId="0" fillId="8" borderId="4" xfId="0" applyFill="1" applyBorder="1" applyAlignment="1" applyProtection="1">
      <alignment horizontal="left" wrapText="1"/>
      <protection locked="0"/>
    </xf>
    <xf numFmtId="0" fontId="0" fillId="8" borderId="0" xfId="0" applyFill="1" applyBorder="1" applyAlignment="1" applyProtection="1">
      <alignment horizontal="left" wrapText="1"/>
      <protection locked="0"/>
    </xf>
    <xf numFmtId="0" fontId="0" fillId="8" borderId="13" xfId="0" applyFill="1" applyBorder="1" applyAlignment="1" applyProtection="1">
      <alignment horizontal="left" wrapText="1"/>
      <protection locked="0"/>
    </xf>
    <xf numFmtId="0" fontId="0" fillId="8" borderId="6" xfId="0" applyFill="1" applyBorder="1" applyAlignment="1" applyProtection="1">
      <alignment horizontal="left" wrapText="1"/>
      <protection locked="0"/>
    </xf>
    <xf numFmtId="0" fontId="0" fillId="8" borderId="30" xfId="0" applyFill="1" applyBorder="1" applyAlignment="1" applyProtection="1">
      <alignment horizontal="left" wrapText="1"/>
      <protection locked="0"/>
    </xf>
    <xf numFmtId="0" fontId="0" fillId="8" borderId="32" xfId="0" applyFill="1" applyBorder="1" applyAlignment="1" applyProtection="1">
      <alignment horizontal="left" wrapText="1"/>
      <protection locked="0"/>
    </xf>
    <xf numFmtId="0" fontId="3" fillId="8" borderId="2" xfId="0" applyFont="1" applyFill="1" applyBorder="1" applyAlignment="1" applyProtection="1">
      <alignment horizontal="center" vertical="center" wrapText="1"/>
      <protection locked="0"/>
    </xf>
    <xf numFmtId="0" fontId="3" fillId="8" borderId="8" xfId="0" applyFont="1" applyFill="1" applyBorder="1" applyAlignment="1" applyProtection="1">
      <alignment horizontal="center" vertical="center" wrapText="1"/>
      <protection locked="0"/>
    </xf>
    <xf numFmtId="0" fontId="3" fillId="8" borderId="4" xfId="0" applyFont="1" applyFill="1" applyBorder="1" applyAlignment="1" applyProtection="1">
      <alignment horizontal="center" vertical="center" wrapText="1"/>
      <protection locked="0"/>
    </xf>
    <xf numFmtId="0" fontId="3" fillId="8" borderId="0" xfId="0" applyFont="1" applyFill="1" applyBorder="1" applyAlignment="1" applyProtection="1">
      <alignment horizontal="center" vertical="center" wrapText="1"/>
      <protection locked="0"/>
    </xf>
    <xf numFmtId="0" fontId="3" fillId="8" borderId="6" xfId="0" applyFont="1" applyFill="1" applyBorder="1" applyAlignment="1" applyProtection="1">
      <alignment horizontal="center" vertical="center" wrapText="1"/>
      <protection locked="0"/>
    </xf>
    <xf numFmtId="0" fontId="3" fillId="8" borderId="30" xfId="0" applyFont="1" applyFill="1" applyBorder="1" applyAlignment="1" applyProtection="1">
      <alignment horizontal="center" vertical="center" wrapText="1"/>
      <protection locked="0"/>
    </xf>
    <xf numFmtId="0" fontId="16" fillId="8" borderId="30" xfId="3" applyFill="1" applyBorder="1" applyAlignment="1" applyProtection="1">
      <alignment horizontal="center" wrapText="1"/>
      <protection locked="0"/>
    </xf>
    <xf numFmtId="0" fontId="16" fillId="8" borderId="0" xfId="3" applyFill="1" applyAlignment="1" applyProtection="1">
      <alignment horizontal="left" wrapText="1"/>
      <protection locked="0"/>
    </xf>
    <xf numFmtId="0" fontId="0" fillId="6" borderId="0" xfId="0" applyFill="1" applyAlignment="1" applyProtection="1">
      <alignment horizontal="center"/>
      <protection locked="0"/>
    </xf>
    <xf numFmtId="0" fontId="0" fillId="6" borderId="30" xfId="0" applyFill="1" applyBorder="1" applyAlignment="1" applyProtection="1">
      <alignment horizontal="right"/>
    </xf>
    <xf numFmtId="0" fontId="0" fillId="6" borderId="32" xfId="0" applyFill="1" applyBorder="1" applyAlignment="1" applyProtection="1">
      <alignment horizontal="right"/>
    </xf>
    <xf numFmtId="0" fontId="0" fillId="9" borderId="56" xfId="0" applyFill="1" applyBorder="1" applyAlignment="1" applyProtection="1">
      <alignment horizontal="left" vertical="top" wrapText="1"/>
      <protection locked="0"/>
    </xf>
    <xf numFmtId="0" fontId="0" fillId="9" borderId="64" xfId="0" applyFill="1" applyBorder="1" applyAlignment="1" applyProtection="1">
      <alignment horizontal="left" vertical="top" wrapText="1"/>
      <protection locked="0"/>
    </xf>
    <xf numFmtId="0" fontId="0" fillId="9" borderId="57" xfId="0" applyFill="1" applyBorder="1" applyAlignment="1" applyProtection="1">
      <alignment horizontal="left" vertical="top" wrapText="1"/>
      <protection locked="0"/>
    </xf>
    <xf numFmtId="0" fontId="3" fillId="6" borderId="30" xfId="0" applyFont="1" applyFill="1" applyBorder="1" applyAlignment="1" applyProtection="1">
      <alignment horizontal="center"/>
      <protection locked="0"/>
    </xf>
    <xf numFmtId="0" fontId="0" fillId="6" borderId="11" xfId="0" applyFill="1" applyBorder="1" applyAlignment="1" applyProtection="1">
      <alignment horizontal="right"/>
    </xf>
    <xf numFmtId="0" fontId="0" fillId="6" borderId="69" xfId="0" applyFill="1" applyBorder="1" applyAlignment="1" applyProtection="1">
      <alignment horizontal="right"/>
    </xf>
    <xf numFmtId="0" fontId="0" fillId="6" borderId="0" xfId="0" applyFill="1" applyBorder="1" applyAlignment="1" applyProtection="1">
      <alignment horizontal="right"/>
    </xf>
    <xf numFmtId="0" fontId="0" fillId="6" borderId="13" xfId="0" applyFill="1" applyBorder="1" applyAlignment="1" applyProtection="1">
      <alignment horizontal="right"/>
    </xf>
    <xf numFmtId="0" fontId="0" fillId="9" borderId="2" xfId="0" applyFont="1" applyFill="1" applyBorder="1" applyAlignment="1" applyProtection="1">
      <alignment horizontal="left" vertical="top" wrapText="1"/>
      <protection locked="0"/>
    </xf>
    <xf numFmtId="0" fontId="0" fillId="9" borderId="8" xfId="0" applyFont="1" applyFill="1" applyBorder="1" applyAlignment="1" applyProtection="1">
      <alignment horizontal="left" vertical="top" wrapText="1"/>
      <protection locked="0"/>
    </xf>
    <xf numFmtId="0" fontId="0" fillId="9" borderId="3" xfId="0" applyFont="1" applyFill="1" applyBorder="1" applyAlignment="1" applyProtection="1">
      <alignment horizontal="left" vertical="top" wrapText="1"/>
      <protection locked="0"/>
    </xf>
    <xf numFmtId="0" fontId="0" fillId="9" borderId="6" xfId="0" applyFont="1" applyFill="1" applyBorder="1" applyAlignment="1" applyProtection="1">
      <alignment horizontal="left" vertical="top" wrapText="1"/>
      <protection locked="0"/>
    </xf>
    <xf numFmtId="0" fontId="0" fillId="9" borderId="30" xfId="0" applyFont="1" applyFill="1" applyBorder="1" applyAlignment="1" applyProtection="1">
      <alignment horizontal="left" vertical="top" wrapText="1"/>
      <protection locked="0"/>
    </xf>
    <xf numFmtId="0" fontId="0" fillId="9" borderId="7" xfId="0" applyFont="1" applyFill="1" applyBorder="1" applyAlignment="1" applyProtection="1">
      <alignment horizontal="left" vertical="top" wrapText="1"/>
      <protection locked="0"/>
    </xf>
    <xf numFmtId="0" fontId="0" fillId="5" borderId="12" xfId="0" applyFill="1" applyBorder="1" applyAlignment="1" applyProtection="1">
      <alignment horizontal="center"/>
      <protection locked="0"/>
    </xf>
    <xf numFmtId="0" fontId="0" fillId="5" borderId="13" xfId="0" applyFill="1" applyBorder="1" applyAlignment="1" applyProtection="1">
      <alignment horizontal="center"/>
      <protection locked="0"/>
    </xf>
    <xf numFmtId="0" fontId="0" fillId="5" borderId="31" xfId="0" applyFill="1" applyBorder="1" applyAlignment="1" applyProtection="1">
      <alignment horizontal="center"/>
      <protection locked="0"/>
    </xf>
    <xf numFmtId="0" fontId="0" fillId="5" borderId="32" xfId="0" applyFill="1" applyBorder="1" applyAlignment="1" applyProtection="1">
      <alignment horizontal="center"/>
      <protection locked="0"/>
    </xf>
    <xf numFmtId="0" fontId="0" fillId="6" borderId="2" xfId="0" applyFill="1" applyBorder="1" applyAlignment="1" applyProtection="1">
      <alignment horizontal="center"/>
      <protection locked="0"/>
    </xf>
    <xf numFmtId="0" fontId="0" fillId="6" borderId="8" xfId="0" applyFill="1" applyBorder="1" applyAlignment="1" applyProtection="1">
      <alignment horizontal="center"/>
      <protection locked="0"/>
    </xf>
    <xf numFmtId="0" fontId="0" fillId="6" borderId="3" xfId="0" applyFill="1" applyBorder="1" applyAlignment="1" applyProtection="1">
      <alignment horizontal="center"/>
      <protection locked="0"/>
    </xf>
    <xf numFmtId="0" fontId="0" fillId="6" borderId="4" xfId="0" applyFill="1" applyBorder="1" applyAlignment="1" applyProtection="1">
      <alignment horizontal="center"/>
      <protection locked="0"/>
    </xf>
    <xf numFmtId="0" fontId="0" fillId="6" borderId="0" xfId="0" applyFill="1" applyBorder="1" applyAlignment="1" applyProtection="1">
      <alignment horizontal="center"/>
      <protection locked="0"/>
    </xf>
    <xf numFmtId="0" fontId="0" fillId="6" borderId="5" xfId="0" applyFill="1" applyBorder="1" applyAlignment="1" applyProtection="1">
      <alignment horizontal="center"/>
      <protection locked="0"/>
    </xf>
    <xf numFmtId="0" fontId="0" fillId="6" borderId="6" xfId="0" applyFill="1" applyBorder="1" applyAlignment="1" applyProtection="1">
      <alignment horizontal="center"/>
      <protection locked="0"/>
    </xf>
    <xf numFmtId="0" fontId="0" fillId="6" borderId="30" xfId="0" applyFill="1" applyBorder="1" applyAlignment="1" applyProtection="1">
      <alignment horizontal="center"/>
      <protection locked="0"/>
    </xf>
    <xf numFmtId="0" fontId="0" fillId="6" borderId="7" xfId="0" applyFill="1" applyBorder="1" applyAlignment="1" applyProtection="1">
      <alignment horizontal="center"/>
      <protection locked="0"/>
    </xf>
    <xf numFmtId="0" fontId="3" fillId="6" borderId="34" xfId="0" applyFont="1" applyFill="1" applyBorder="1" applyAlignment="1" applyProtection="1">
      <alignment horizontal="center" vertical="center" wrapText="1"/>
      <protection locked="0"/>
    </xf>
    <xf numFmtId="0" fontId="3" fillId="6" borderId="33" xfId="0" applyFont="1" applyFill="1" applyBorder="1" applyAlignment="1" applyProtection="1">
      <alignment horizontal="center" vertical="center" wrapText="1"/>
      <protection locked="0"/>
    </xf>
    <xf numFmtId="0" fontId="0" fillId="5" borderId="10" xfId="0" applyFill="1" applyBorder="1" applyAlignment="1" applyProtection="1">
      <alignment horizontal="center"/>
      <protection locked="0"/>
    </xf>
    <xf numFmtId="0" fontId="0" fillId="5" borderId="69" xfId="0" applyFill="1" applyBorder="1" applyAlignment="1" applyProtection="1">
      <alignment horizontal="center"/>
      <protection locked="0"/>
    </xf>
    <xf numFmtId="0" fontId="0" fillId="9" borderId="67" xfId="0" applyFont="1" applyFill="1" applyBorder="1" applyAlignment="1" applyProtection="1">
      <alignment horizontal="left" vertical="top" wrapText="1"/>
      <protection locked="0"/>
    </xf>
    <xf numFmtId="0" fontId="0" fillId="9" borderId="62" xfId="0" applyFont="1" applyFill="1" applyBorder="1" applyAlignment="1" applyProtection="1">
      <alignment horizontal="left" vertical="top" wrapText="1"/>
      <protection locked="0"/>
    </xf>
    <xf numFmtId="0" fontId="0" fillId="9" borderId="70" xfId="0" applyFont="1" applyFill="1" applyBorder="1" applyAlignment="1" applyProtection="1">
      <alignment horizontal="left" vertical="top" wrapText="1"/>
      <protection locked="0"/>
    </xf>
    <xf numFmtId="0" fontId="24" fillId="6" borderId="21" xfId="4" applyFont="1" applyFill="1" applyBorder="1" applyAlignment="1" applyProtection="1">
      <alignment horizontal="center" vertical="center" wrapText="1"/>
      <protection locked="0"/>
    </xf>
    <xf numFmtId="0" fontId="0" fillId="6" borderId="27" xfId="0" applyFill="1" applyBorder="1" applyAlignment="1" applyProtection="1">
      <alignment horizontal="center" vertical="center"/>
      <protection locked="0"/>
    </xf>
    <xf numFmtId="0" fontId="0" fillId="6" borderId="28" xfId="0" applyFill="1" applyBorder="1" applyAlignment="1" applyProtection="1">
      <alignment horizontal="center" vertical="center"/>
      <protection locked="0"/>
    </xf>
    <xf numFmtId="49" fontId="0" fillId="6" borderId="27" xfId="0" applyNumberFormat="1" applyFill="1" applyBorder="1" applyAlignment="1" applyProtection="1">
      <alignment horizontal="center" vertical="center"/>
      <protection locked="0"/>
    </xf>
    <xf numFmtId="49" fontId="0" fillId="6" borderId="28" xfId="0" applyNumberFormat="1" applyFill="1" applyBorder="1" applyAlignment="1" applyProtection="1">
      <alignment horizontal="center" vertical="center"/>
      <protection locked="0"/>
    </xf>
    <xf numFmtId="49" fontId="0" fillId="6" borderId="55" xfId="0" applyNumberFormat="1" applyFill="1" applyBorder="1" applyAlignment="1" applyProtection="1">
      <alignment horizontal="center" vertical="center"/>
      <protection locked="0"/>
    </xf>
    <xf numFmtId="49" fontId="0" fillId="6" borderId="29" xfId="0" applyNumberFormat="1" applyFill="1" applyBorder="1" applyAlignment="1" applyProtection="1">
      <alignment horizontal="center" vertical="center"/>
      <protection locked="0"/>
    </xf>
    <xf numFmtId="0" fontId="0" fillId="6" borderId="2" xfId="0" applyFill="1" applyBorder="1" applyAlignment="1" applyProtection="1">
      <alignment horizontal="left" wrapText="1"/>
      <protection locked="0"/>
    </xf>
    <xf numFmtId="0" fontId="0" fillId="6" borderId="8" xfId="0" applyFill="1" applyBorder="1" applyAlignment="1" applyProtection="1">
      <alignment horizontal="left" wrapText="1"/>
      <protection locked="0"/>
    </xf>
    <xf numFmtId="0" fontId="0" fillId="6" borderId="3" xfId="0" applyFill="1" applyBorder="1" applyAlignment="1" applyProtection="1">
      <alignment horizontal="left" wrapText="1"/>
      <protection locked="0"/>
    </xf>
    <xf numFmtId="0" fontId="0" fillId="6" borderId="4" xfId="0" applyFill="1" applyBorder="1" applyAlignment="1" applyProtection="1">
      <alignment horizontal="left" wrapText="1"/>
      <protection locked="0"/>
    </xf>
    <xf numFmtId="0" fontId="0" fillId="6" borderId="0" xfId="0" applyFill="1" applyBorder="1" applyAlignment="1" applyProtection="1">
      <alignment horizontal="left" wrapText="1"/>
      <protection locked="0"/>
    </xf>
    <xf numFmtId="0" fontId="0" fillId="6" borderId="5" xfId="0" applyFill="1" applyBorder="1" applyAlignment="1" applyProtection="1">
      <alignment horizontal="left" wrapText="1"/>
      <protection locked="0"/>
    </xf>
    <xf numFmtId="0" fontId="0" fillId="6" borderId="6" xfId="0" applyFill="1" applyBorder="1" applyAlignment="1" applyProtection="1">
      <alignment horizontal="left" wrapText="1"/>
      <protection locked="0"/>
    </xf>
    <xf numFmtId="0" fontId="0" fillId="6" borderId="30" xfId="0" applyFill="1" applyBorder="1" applyAlignment="1" applyProtection="1">
      <alignment horizontal="left" wrapText="1"/>
      <protection locked="0"/>
    </xf>
    <xf numFmtId="0" fontId="0" fillId="6" borderId="7" xfId="0" applyFill="1" applyBorder="1" applyAlignment="1" applyProtection="1">
      <alignment horizontal="left" wrapText="1"/>
      <protection locked="0"/>
    </xf>
    <xf numFmtId="0" fontId="3" fillId="6" borderId="0" xfId="0" applyFont="1" applyFill="1" applyBorder="1" applyAlignment="1">
      <alignment horizontal="center"/>
    </xf>
    <xf numFmtId="0" fontId="0" fillId="21" borderId="2" xfId="0" applyFill="1" applyBorder="1" applyAlignment="1" applyProtection="1">
      <alignment horizontal="left" vertical="top" wrapText="1"/>
      <protection locked="0"/>
    </xf>
    <xf numFmtId="0" fontId="0" fillId="21" borderId="8" xfId="0" applyFill="1" applyBorder="1" applyAlignment="1" applyProtection="1">
      <alignment horizontal="left" vertical="top" wrapText="1"/>
      <protection locked="0"/>
    </xf>
    <xf numFmtId="0" fontId="0" fillId="21" borderId="3" xfId="0" applyFill="1" applyBorder="1" applyAlignment="1" applyProtection="1">
      <alignment horizontal="left" vertical="top" wrapText="1"/>
      <protection locked="0"/>
    </xf>
    <xf numFmtId="0" fontId="0" fillId="21" borderId="4" xfId="0" applyFill="1" applyBorder="1" applyAlignment="1" applyProtection="1">
      <alignment horizontal="left" vertical="top" wrapText="1"/>
      <protection locked="0"/>
    </xf>
    <xf numFmtId="0" fontId="0" fillId="21" borderId="0" xfId="0" applyFill="1" applyBorder="1" applyAlignment="1" applyProtection="1">
      <alignment horizontal="left" vertical="top" wrapText="1"/>
      <protection locked="0"/>
    </xf>
    <xf numFmtId="0" fontId="0" fillId="21" borderId="5" xfId="0" applyFill="1" applyBorder="1" applyAlignment="1" applyProtection="1">
      <alignment horizontal="left" vertical="top" wrapText="1"/>
      <protection locked="0"/>
    </xf>
    <xf numFmtId="0" fontId="0" fillId="21" borderId="6" xfId="0" applyFill="1" applyBorder="1" applyAlignment="1" applyProtection="1">
      <alignment horizontal="left" vertical="top" wrapText="1"/>
      <protection locked="0"/>
    </xf>
    <xf numFmtId="0" fontId="0" fillId="21" borderId="30" xfId="0" applyFill="1" applyBorder="1" applyAlignment="1" applyProtection="1">
      <alignment horizontal="left" vertical="top" wrapText="1"/>
      <protection locked="0"/>
    </xf>
    <xf numFmtId="0" fontId="0" fillId="21" borderId="7" xfId="0" applyFill="1" applyBorder="1" applyAlignment="1" applyProtection="1">
      <alignment horizontal="left" vertical="top" wrapText="1"/>
      <protection locked="0"/>
    </xf>
    <xf numFmtId="0" fontId="3" fillId="6" borderId="12" xfId="0" applyFont="1" applyFill="1" applyBorder="1" applyAlignment="1">
      <alignment horizontal="center"/>
    </xf>
    <xf numFmtId="0" fontId="3" fillId="6" borderId="13" xfId="0" applyFont="1" applyFill="1" applyBorder="1" applyAlignment="1">
      <alignment horizontal="center"/>
    </xf>
    <xf numFmtId="0" fontId="3" fillId="6" borderId="20" xfId="0" applyFont="1" applyFill="1" applyBorder="1" applyAlignment="1">
      <alignment horizontal="left"/>
    </xf>
    <xf numFmtId="0" fontId="3" fillId="6" borderId="21" xfId="0" applyFont="1" applyFill="1" applyBorder="1" applyAlignment="1">
      <alignment horizontal="left"/>
    </xf>
    <xf numFmtId="0" fontId="3" fillId="6" borderId="33" xfId="0" applyFont="1" applyFill="1" applyBorder="1" applyAlignment="1">
      <alignment horizontal="left"/>
    </xf>
    <xf numFmtId="0" fontId="0" fillId="6" borderId="50" xfId="0" applyFill="1" applyBorder="1" applyAlignment="1">
      <alignment horizontal="left"/>
    </xf>
    <xf numFmtId="0" fontId="0" fillId="6" borderId="51" xfId="0" applyFill="1" applyBorder="1" applyAlignment="1">
      <alignment horizontal="left"/>
    </xf>
    <xf numFmtId="0" fontId="0" fillId="6" borderId="65" xfId="0" applyFill="1" applyBorder="1" applyAlignment="1">
      <alignment horizontal="left"/>
    </xf>
    <xf numFmtId="0" fontId="3" fillId="6" borderId="20" xfId="0" applyFont="1" applyFill="1" applyBorder="1" applyAlignment="1" applyProtection="1">
      <alignment horizontal="left"/>
      <protection locked="0"/>
    </xf>
    <xf numFmtId="0" fontId="3" fillId="6" borderId="21" xfId="0" applyFont="1" applyFill="1" applyBorder="1" applyAlignment="1" applyProtection="1">
      <alignment horizontal="left"/>
      <protection locked="0"/>
    </xf>
    <xf numFmtId="0" fontId="3" fillId="6" borderId="33" xfId="0" applyFont="1" applyFill="1" applyBorder="1" applyAlignment="1" applyProtection="1">
      <alignment horizontal="left"/>
      <protection locked="0"/>
    </xf>
    <xf numFmtId="0" fontId="0" fillId="6" borderId="26" xfId="0" applyFill="1" applyBorder="1" applyAlignment="1" applyProtection="1">
      <alignment horizontal="left"/>
      <protection locked="0"/>
    </xf>
    <xf numFmtId="0" fontId="0" fillId="6" borderId="11" xfId="0" applyFill="1" applyBorder="1" applyAlignment="1" applyProtection="1">
      <alignment horizontal="left"/>
      <protection locked="0"/>
    </xf>
    <xf numFmtId="0" fontId="0" fillId="6" borderId="69" xfId="0" applyFill="1" applyBorder="1" applyAlignment="1" applyProtection="1">
      <alignment horizontal="left"/>
      <protection locked="0"/>
    </xf>
    <xf numFmtId="0" fontId="0" fillId="6" borderId="26" xfId="0" applyFill="1" applyBorder="1" applyAlignment="1">
      <alignment horizontal="left"/>
    </xf>
    <xf numFmtId="0" fontId="0" fillId="6" borderId="11" xfId="0" applyFill="1" applyBorder="1" applyAlignment="1">
      <alignment horizontal="left"/>
    </xf>
    <xf numFmtId="0" fontId="0" fillId="6" borderId="69" xfId="0" applyFill="1" applyBorder="1" applyAlignment="1">
      <alignment horizontal="left"/>
    </xf>
    <xf numFmtId="0" fontId="0" fillId="6" borderId="4" xfId="0" applyFill="1" applyBorder="1" applyAlignment="1" applyProtection="1">
      <alignment horizontal="left"/>
      <protection locked="0"/>
    </xf>
    <xf numFmtId="0" fontId="0" fillId="6" borderId="0" xfId="0" applyFill="1" applyBorder="1" applyAlignment="1" applyProtection="1">
      <alignment horizontal="left"/>
      <protection locked="0"/>
    </xf>
    <xf numFmtId="0" fontId="0" fillId="6" borderId="13" xfId="0" applyFill="1" applyBorder="1" applyAlignment="1" applyProtection="1">
      <alignment horizontal="left"/>
      <protection locked="0"/>
    </xf>
    <xf numFmtId="0" fontId="0" fillId="6" borderId="4" xfId="0" applyFill="1" applyBorder="1" applyAlignment="1">
      <alignment horizontal="left"/>
    </xf>
    <xf numFmtId="0" fontId="0" fillId="6" borderId="0" xfId="0" applyFill="1" applyBorder="1" applyAlignment="1">
      <alignment horizontal="left"/>
    </xf>
    <xf numFmtId="0" fontId="0" fillId="6" borderId="13" xfId="0" applyFill="1" applyBorder="1" applyAlignment="1">
      <alignment horizontal="left"/>
    </xf>
    <xf numFmtId="0" fontId="0" fillId="6" borderId="25" xfId="0" applyFill="1" applyBorder="1" applyAlignment="1" applyProtection="1">
      <alignment horizontal="left"/>
      <protection locked="0"/>
    </xf>
    <xf numFmtId="0" fontId="0" fillId="6" borderId="59" xfId="0" applyFill="1" applyBorder="1" applyAlignment="1" applyProtection="1">
      <alignment horizontal="left"/>
      <protection locked="0"/>
    </xf>
    <xf numFmtId="0" fontId="0" fillId="6" borderId="60" xfId="0" applyFill="1" applyBorder="1" applyAlignment="1" applyProtection="1">
      <alignment horizontal="left"/>
      <protection locked="0"/>
    </xf>
    <xf numFmtId="0" fontId="0" fillId="6" borderId="25" xfId="0" applyFill="1" applyBorder="1" applyAlignment="1">
      <alignment horizontal="left"/>
    </xf>
    <xf numFmtId="0" fontId="0" fillId="6" borderId="59" xfId="0" applyFill="1" applyBorder="1" applyAlignment="1">
      <alignment horizontal="left"/>
    </xf>
    <xf numFmtId="0" fontId="0" fillId="6" borderId="60" xfId="0" applyFill="1" applyBorder="1" applyAlignment="1">
      <alignment horizontal="left"/>
    </xf>
    <xf numFmtId="0" fontId="2" fillId="6" borderId="0" xfId="0" applyFont="1" applyFill="1" applyBorder="1" applyAlignment="1" applyProtection="1">
      <alignment horizontal="left" vertical="top" wrapText="1"/>
      <protection locked="0"/>
    </xf>
    <xf numFmtId="0" fontId="3" fillId="6" borderId="0" xfId="0" applyFont="1" applyFill="1" applyBorder="1" applyAlignment="1" applyProtection="1">
      <alignment horizontal="left"/>
      <protection locked="0"/>
    </xf>
    <xf numFmtId="0" fontId="0" fillId="6" borderId="50" xfId="0" applyFill="1" applyBorder="1" applyAlignment="1" applyProtection="1">
      <alignment horizontal="left"/>
      <protection locked="0"/>
    </xf>
    <xf numFmtId="0" fontId="0" fillId="6" borderId="51" xfId="0" applyFill="1" applyBorder="1" applyAlignment="1" applyProtection="1">
      <alignment horizontal="left"/>
      <protection locked="0"/>
    </xf>
    <xf numFmtId="0" fontId="0" fillId="6" borderId="65" xfId="0" applyFill="1" applyBorder="1" applyAlignment="1" applyProtection="1">
      <alignment horizontal="left"/>
      <protection locked="0"/>
    </xf>
    <xf numFmtId="0" fontId="0" fillId="21" borderId="8" xfId="0" applyFill="1" applyBorder="1" applyAlignment="1">
      <alignment horizontal="left" vertical="top" wrapText="1"/>
    </xf>
    <xf numFmtId="0" fontId="0" fillId="21" borderId="0" xfId="0" applyFill="1" applyAlignment="1">
      <alignment horizontal="left" vertical="top" wrapText="1"/>
    </xf>
    <xf numFmtId="0" fontId="0" fillId="21" borderId="30" xfId="0" applyFill="1" applyBorder="1" applyAlignment="1">
      <alignment horizontal="left" vertical="top" wrapText="1"/>
    </xf>
    <xf numFmtId="0" fontId="0" fillId="6" borderId="53" xfId="0" applyFill="1" applyBorder="1" applyAlignment="1">
      <alignment horizontal="center"/>
    </xf>
    <xf numFmtId="0" fontId="0" fillId="6" borderId="3" xfId="0" applyFill="1" applyBorder="1" applyAlignment="1">
      <alignment horizontal="center"/>
    </xf>
    <xf numFmtId="0" fontId="0" fillId="6" borderId="2" xfId="0" applyFill="1" applyBorder="1" applyAlignment="1">
      <alignment horizontal="center"/>
    </xf>
    <xf numFmtId="0" fontId="0" fillId="6" borderId="8" xfId="0" applyFill="1" applyBorder="1" applyAlignment="1">
      <alignment horizontal="center"/>
    </xf>
    <xf numFmtId="1" fontId="0" fillId="6" borderId="2" xfId="0" applyNumberFormat="1" applyFill="1" applyBorder="1" applyAlignment="1">
      <alignment horizontal="center"/>
    </xf>
    <xf numFmtId="1" fontId="0" fillId="6" borderId="63" xfId="0" applyNumberFormat="1" applyFill="1" applyBorder="1" applyAlignment="1">
      <alignment horizontal="center"/>
    </xf>
    <xf numFmtId="0" fontId="0" fillId="6" borderId="6" xfId="0" applyFill="1" applyBorder="1" applyAlignment="1">
      <alignment horizontal="center"/>
    </xf>
    <xf numFmtId="0" fontId="0" fillId="6" borderId="30" xfId="0" applyFill="1" applyBorder="1" applyAlignment="1">
      <alignment horizontal="center"/>
    </xf>
    <xf numFmtId="0" fontId="0" fillId="6" borderId="0" xfId="0" applyFill="1" applyAlignment="1">
      <alignment horizontal="center"/>
    </xf>
    <xf numFmtId="0" fontId="0" fillId="6" borderId="4" xfId="0" applyFill="1" applyBorder="1" applyAlignment="1">
      <alignment horizontal="center"/>
    </xf>
    <xf numFmtId="1" fontId="0" fillId="6" borderId="53" xfId="0" applyNumberFormat="1" applyFill="1" applyBorder="1" applyAlignment="1">
      <alignment horizontal="center"/>
    </xf>
    <xf numFmtId="1" fontId="0" fillId="6" borderId="8" xfId="0" applyNumberFormat="1" applyFill="1" applyBorder="1" applyAlignment="1">
      <alignment horizontal="center"/>
    </xf>
    <xf numFmtId="0" fontId="0" fillId="6" borderId="63" xfId="0" applyFill="1" applyBorder="1" applyAlignment="1">
      <alignment horizontal="center"/>
    </xf>
    <xf numFmtId="0" fontId="0" fillId="6" borderId="4" xfId="0" applyFill="1" applyBorder="1" applyAlignment="1">
      <alignment horizontal="center" wrapText="1"/>
    </xf>
    <xf numFmtId="0" fontId="0" fillId="6" borderId="0" xfId="0" applyFill="1" applyAlignment="1">
      <alignment horizontal="center" wrapText="1"/>
    </xf>
    <xf numFmtId="0" fontId="3" fillId="9" borderId="2" xfId="0" applyFont="1" applyFill="1" applyBorder="1" applyAlignment="1">
      <alignment horizontal="left" vertical="top" wrapText="1"/>
    </xf>
    <xf numFmtId="0" fontId="3" fillId="9" borderId="8" xfId="0" applyFont="1" applyFill="1" applyBorder="1" applyAlignment="1">
      <alignment horizontal="left" vertical="top" wrapText="1"/>
    </xf>
    <xf numFmtId="0" fontId="3" fillId="9" borderId="3" xfId="0" applyFont="1" applyFill="1" applyBorder="1" applyAlignment="1">
      <alignment horizontal="left" vertical="top" wrapText="1"/>
    </xf>
    <xf numFmtId="0" fontId="3" fillId="9" borderId="4" xfId="0" applyFont="1" applyFill="1" applyBorder="1" applyAlignment="1">
      <alignment horizontal="left" vertical="top" wrapText="1"/>
    </xf>
    <xf numFmtId="0" fontId="3" fillId="9" borderId="0" xfId="0" applyFont="1" applyFill="1" applyBorder="1" applyAlignment="1">
      <alignment horizontal="left" vertical="top" wrapText="1"/>
    </xf>
    <xf numFmtId="0" fontId="3" fillId="9" borderId="5" xfId="0" applyFont="1" applyFill="1" applyBorder="1" applyAlignment="1">
      <alignment horizontal="left" vertical="top" wrapText="1"/>
    </xf>
    <xf numFmtId="0" fontId="3" fillId="9" borderId="6" xfId="0" applyFont="1" applyFill="1" applyBorder="1" applyAlignment="1">
      <alignment horizontal="left" vertical="top" wrapText="1"/>
    </xf>
    <xf numFmtId="0" fontId="3" fillId="9" borderId="30" xfId="0" applyFont="1" applyFill="1" applyBorder="1" applyAlignment="1">
      <alignment horizontal="left" vertical="top" wrapText="1"/>
    </xf>
    <xf numFmtId="0" fontId="3" fillId="9" borderId="7" xfId="0" applyFont="1" applyFill="1" applyBorder="1" applyAlignment="1">
      <alignment horizontal="left" vertical="top" wrapText="1"/>
    </xf>
    <xf numFmtId="0" fontId="3" fillId="6" borderId="53" xfId="0" applyFont="1" applyFill="1" applyBorder="1" applyAlignment="1" applyProtection="1">
      <alignment horizontal="center"/>
    </xf>
    <xf numFmtId="0" fontId="3" fillId="6" borderId="8" xfId="0" applyFont="1" applyFill="1" applyBorder="1" applyAlignment="1" applyProtection="1">
      <alignment horizontal="center"/>
    </xf>
    <xf numFmtId="0" fontId="3" fillId="6" borderId="63" xfId="0" applyFont="1" applyFill="1" applyBorder="1" applyAlignment="1" applyProtection="1">
      <alignment horizontal="center"/>
    </xf>
    <xf numFmtId="0" fontId="3" fillId="6" borderId="3" xfId="0" applyFont="1" applyFill="1" applyBorder="1" applyAlignment="1" applyProtection="1">
      <alignment horizontal="center"/>
    </xf>
    <xf numFmtId="0" fontId="0" fillId="6" borderId="64" xfId="0" applyFill="1" applyBorder="1" applyAlignment="1" applyProtection="1">
      <alignment horizontal="center"/>
      <protection locked="0"/>
    </xf>
    <xf numFmtId="0" fontId="0" fillId="6" borderId="56" xfId="0" applyFill="1" applyBorder="1" applyAlignment="1" applyProtection="1">
      <alignment horizontal="center"/>
      <protection locked="0"/>
    </xf>
    <xf numFmtId="0" fontId="0" fillId="6" borderId="57" xfId="0" applyFill="1" applyBorder="1" applyAlignment="1" applyProtection="1">
      <alignment horizontal="center"/>
      <protection locked="0"/>
    </xf>
    <xf numFmtId="0" fontId="0" fillId="5" borderId="0" xfId="0" applyFill="1" applyBorder="1" applyAlignment="1" applyProtection="1">
      <alignment horizontal="center"/>
      <protection locked="0"/>
    </xf>
    <xf numFmtId="0" fontId="0" fillId="5" borderId="11" xfId="0" applyFill="1" applyBorder="1" applyAlignment="1" applyProtection="1">
      <alignment horizontal="center"/>
      <protection locked="0"/>
    </xf>
    <xf numFmtId="0" fontId="0" fillId="5" borderId="30" xfId="0" applyFill="1" applyBorder="1" applyAlignment="1" applyProtection="1">
      <alignment horizontal="center"/>
      <protection locked="0"/>
    </xf>
    <xf numFmtId="0" fontId="3" fillId="6" borderId="2" xfId="0" applyFont="1" applyFill="1" applyBorder="1" applyAlignment="1" applyProtection="1">
      <alignment horizontal="left"/>
      <protection locked="0"/>
    </xf>
    <xf numFmtId="0" fontId="3" fillId="6" borderId="8" xfId="0" applyFont="1" applyFill="1" applyBorder="1" applyAlignment="1" applyProtection="1">
      <alignment horizontal="left"/>
      <protection locked="0"/>
    </xf>
    <xf numFmtId="0" fontId="3" fillId="6" borderId="63" xfId="0" applyFont="1" applyFill="1" applyBorder="1" applyAlignment="1" applyProtection="1">
      <alignment horizontal="left"/>
      <protection locked="0"/>
    </xf>
    <xf numFmtId="0" fontId="3" fillId="6" borderId="0" xfId="0" applyFont="1" applyFill="1" applyBorder="1" applyAlignment="1" applyProtection="1">
      <alignment horizontal="center"/>
      <protection locked="0"/>
    </xf>
    <xf numFmtId="0" fontId="3" fillId="6" borderId="12" xfId="0" applyFont="1" applyFill="1" applyBorder="1" applyAlignment="1" applyProtection="1">
      <alignment horizontal="center"/>
      <protection locked="0"/>
    </xf>
    <xf numFmtId="0" fontId="0" fillId="21" borderId="53" xfId="0" applyFill="1" applyBorder="1" applyAlignment="1">
      <alignment horizontal="center"/>
    </xf>
    <xf numFmtId="0" fontId="0" fillId="21" borderId="8" xfId="0" applyFill="1" applyBorder="1" applyAlignment="1">
      <alignment horizontal="center"/>
    </xf>
    <xf numFmtId="0" fontId="0" fillId="21" borderId="63" xfId="0" applyFill="1" applyBorder="1" applyAlignment="1">
      <alignment horizontal="center"/>
    </xf>
    <xf numFmtId="0" fontId="0" fillId="21" borderId="3" xfId="0" applyFill="1" applyBorder="1" applyAlignment="1">
      <alignment horizontal="center"/>
    </xf>
    <xf numFmtId="0" fontId="19" fillId="16" borderId="0" xfId="0" applyFont="1" applyFill="1" applyBorder="1" applyProtection="1">
      <protection locked="0"/>
    </xf>
    <xf numFmtId="0" fontId="0" fillId="24" borderId="3" xfId="0" applyFill="1" applyBorder="1" applyAlignment="1" applyProtection="1">
      <alignment vertical="top" wrapText="1"/>
      <protection locked="0"/>
    </xf>
    <xf numFmtId="0" fontId="0" fillId="24" borderId="5" xfId="0" applyFill="1" applyBorder="1" applyAlignment="1" applyProtection="1">
      <alignment vertical="top" wrapText="1"/>
      <protection locked="0"/>
    </xf>
    <xf numFmtId="0" fontId="0" fillId="24" borderId="7" xfId="0" applyFill="1" applyBorder="1" applyAlignment="1" applyProtection="1">
      <alignment vertical="top" wrapText="1"/>
      <protection locked="0"/>
    </xf>
  </cellXfs>
  <cellStyles count="5">
    <cellStyle name="God" xfId="1" builtinId="26"/>
    <cellStyle name="Hyperkobling" xfId="3" builtinId="8"/>
    <cellStyle name="Normal" xfId="0" builtinId="0"/>
    <cellStyle name="Normal 2" xfId="4" xr:uid="{3E732F78-357A-4A54-8489-50671AEC5C82}"/>
    <cellStyle name="Prosent" xfId="2" builtinId="5"/>
  </cellStyles>
  <dxfs count="12">
    <dxf>
      <border>
        <left style="thin">
          <color auto="1"/>
        </left>
        <right/>
        <top style="thin">
          <color auto="1"/>
        </top>
        <bottom style="thin">
          <color auto="1"/>
        </bottom>
        <vertical/>
        <horizontal/>
      </border>
    </dxf>
    <dxf>
      <border>
        <right style="thin">
          <color auto="1"/>
        </right>
        <top style="thin">
          <color auto="1"/>
        </top>
        <bottom style="thin">
          <color auto="1"/>
        </bottom>
        <vertical/>
        <horizontal/>
      </border>
    </dxf>
    <dxf>
      <fill>
        <patternFill>
          <bgColor theme="9" tint="0.79998168889431442"/>
        </patternFill>
      </fill>
      <border>
        <right style="thin">
          <color auto="1"/>
        </right>
        <bottom style="thin">
          <color auto="1"/>
        </bottom>
      </border>
    </dxf>
    <dxf>
      <fill>
        <patternFill>
          <bgColor theme="9" tint="0.79998168889431442"/>
        </patternFill>
      </fill>
      <border>
        <left style="thin">
          <color auto="1"/>
        </left>
        <bottom style="thin">
          <color auto="1"/>
        </bottom>
      </border>
    </dxf>
    <dxf>
      <numFmt numFmtId="2" formatCode="0.00"/>
    </dxf>
    <dxf>
      <numFmt numFmtId="0" formatCode="General"/>
    </dxf>
    <dxf>
      <numFmt numFmtId="0" formatCode="General"/>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dxf>
    <dxf>
      <font>
        <b/>
        <i val="0"/>
        <strike val="0"/>
        <condense val="0"/>
        <extend val="0"/>
        <outline val="0"/>
        <shadow val="0"/>
        <u val="none"/>
        <vertAlign val="baseline"/>
        <sz val="11"/>
        <color theme="0"/>
        <name val="Calibri"/>
        <scheme val="minor"/>
      </font>
      <fill>
        <patternFill patternType="solid">
          <fgColor theme="4"/>
          <bgColor theme="4"/>
        </patternFill>
      </fill>
    </dxf>
  </dxfs>
  <tableStyles count="0" defaultTableStyle="TableStyleMedium2" defaultPivotStyle="PivotStyleLight16"/>
  <colors>
    <mruColors>
      <color rgb="FF00FFFF"/>
      <color rgb="FFCC99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0"/>
    </c:view3D>
    <c:floor>
      <c:thickness val="0"/>
      <c:spPr>
        <a:noFill/>
        <a:ln>
          <a:noFill/>
        </a:ln>
        <a:effectLst/>
        <a:sp3d/>
      </c:spPr>
    </c:floor>
    <c:sideWall>
      <c:thickness val="0"/>
      <c:spPr>
        <a:solidFill>
          <a:schemeClr val="bg2"/>
        </a:solidFill>
        <a:ln>
          <a:noFill/>
        </a:ln>
        <a:effectLst/>
        <a:sp3d/>
      </c:spPr>
    </c:sideWall>
    <c:backWall>
      <c:thickness val="0"/>
      <c:spPr>
        <a:solidFill>
          <a:schemeClr val="bg2"/>
        </a:solidFill>
        <a:ln>
          <a:noFill/>
        </a:ln>
        <a:effectLst/>
        <a:sp3d/>
      </c:spPr>
    </c:backWall>
    <c:plotArea>
      <c:layout>
        <c:manualLayout>
          <c:layoutTarget val="inner"/>
          <c:xMode val="edge"/>
          <c:yMode val="edge"/>
          <c:x val="2.9993122502962481E-2"/>
          <c:y val="4.2953765070676081E-2"/>
          <c:w val="0.74897552273213797"/>
          <c:h val="0.89361248182754571"/>
        </c:manualLayout>
      </c:layout>
      <c:bar3DChart>
        <c:barDir val="col"/>
        <c:grouping val="standard"/>
        <c:varyColors val="0"/>
        <c:ser>
          <c:idx val="0"/>
          <c:order val="0"/>
          <c:tx>
            <c:strRef>
              <c:f>'Input KOSTRA regnskapsdata'!$S$7</c:f>
              <c:strCache>
                <c:ptCount val="1"/>
                <c:pt idx="0">
                  <c:v>Forbruksmateriell</c:v>
                </c:pt>
              </c:strCache>
            </c:strRef>
          </c:tx>
          <c:spPr>
            <a:solidFill>
              <a:schemeClr val="accent1"/>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regnskapsdata'!$T$7:$W$7</c:f>
              <c:numCache>
                <c:formatCode>#,##0</c:formatCode>
                <c:ptCount val="4"/>
                <c:pt idx="0">
                  <c:v>0</c:v>
                </c:pt>
                <c:pt idx="1">
                  <c:v>0</c:v>
                </c:pt>
                <c:pt idx="2">
                  <c:v>0</c:v>
                </c:pt>
                <c:pt idx="3">
                  <c:v>0</c:v>
                </c:pt>
              </c:numCache>
            </c:numRef>
          </c:val>
          <c:extLst>
            <c:ext xmlns:c16="http://schemas.microsoft.com/office/drawing/2014/chart" uri="{C3380CC4-5D6E-409C-BE32-E72D297353CC}">
              <c16:uniqueId val="{00000000-BF50-4A7C-B1A0-C88D9E11807E}"/>
            </c:ext>
          </c:extLst>
        </c:ser>
        <c:ser>
          <c:idx val="1"/>
          <c:order val="1"/>
          <c:tx>
            <c:strRef>
              <c:f>'Input KOSTRA regnskapsdata'!$S$8</c:f>
              <c:strCache>
                <c:ptCount val="1"/>
                <c:pt idx="0">
                  <c:v>Transport</c:v>
                </c:pt>
              </c:strCache>
            </c:strRef>
          </c:tx>
          <c:spPr>
            <a:solidFill>
              <a:schemeClr val="accent2"/>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regnskapsdata'!$T$8:$W$8</c:f>
              <c:numCache>
                <c:formatCode>#,##0</c:formatCode>
                <c:ptCount val="4"/>
                <c:pt idx="0">
                  <c:v>0</c:v>
                </c:pt>
                <c:pt idx="1">
                  <c:v>0</c:v>
                </c:pt>
                <c:pt idx="2">
                  <c:v>0</c:v>
                </c:pt>
                <c:pt idx="3">
                  <c:v>0</c:v>
                </c:pt>
              </c:numCache>
            </c:numRef>
          </c:val>
          <c:extLst>
            <c:ext xmlns:c16="http://schemas.microsoft.com/office/drawing/2014/chart" uri="{C3380CC4-5D6E-409C-BE32-E72D297353CC}">
              <c16:uniqueId val="{00000001-BF50-4A7C-B1A0-C88D9E11807E}"/>
            </c:ext>
          </c:extLst>
        </c:ser>
        <c:ser>
          <c:idx val="2"/>
          <c:order val="2"/>
          <c:tx>
            <c:strRef>
              <c:f>'Input KOSTRA regnskapsdata'!$S$9</c:f>
              <c:strCache>
                <c:ptCount val="1"/>
                <c:pt idx="0">
                  <c:v>Energi</c:v>
                </c:pt>
              </c:strCache>
            </c:strRef>
          </c:tx>
          <c:spPr>
            <a:solidFill>
              <a:schemeClr val="accent3"/>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regnskapsdata'!$T$9:$W$9</c:f>
              <c:numCache>
                <c:formatCode>#,##0</c:formatCode>
                <c:ptCount val="4"/>
                <c:pt idx="0">
                  <c:v>0</c:v>
                </c:pt>
                <c:pt idx="1">
                  <c:v>0</c:v>
                </c:pt>
                <c:pt idx="2">
                  <c:v>0</c:v>
                </c:pt>
                <c:pt idx="3">
                  <c:v>0</c:v>
                </c:pt>
              </c:numCache>
            </c:numRef>
          </c:val>
          <c:extLst>
            <c:ext xmlns:c16="http://schemas.microsoft.com/office/drawing/2014/chart" uri="{C3380CC4-5D6E-409C-BE32-E72D297353CC}">
              <c16:uniqueId val="{00000002-BF50-4A7C-B1A0-C88D9E11807E}"/>
            </c:ext>
          </c:extLst>
        </c:ser>
        <c:ser>
          <c:idx val="3"/>
          <c:order val="3"/>
          <c:tx>
            <c:strRef>
              <c:f>'Input KOSTRA regnskapsdata'!$S$10</c:f>
              <c:strCache>
                <c:ptCount val="1"/>
                <c:pt idx="0">
                  <c:v>Bygg og anlegg</c:v>
                </c:pt>
              </c:strCache>
            </c:strRef>
          </c:tx>
          <c:spPr>
            <a:solidFill>
              <a:schemeClr val="accent4"/>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regnskapsdata'!$T$10:$W$10</c:f>
              <c:numCache>
                <c:formatCode>#,##0</c:formatCode>
                <c:ptCount val="4"/>
                <c:pt idx="0">
                  <c:v>0</c:v>
                </c:pt>
                <c:pt idx="1">
                  <c:v>0</c:v>
                </c:pt>
                <c:pt idx="2">
                  <c:v>0</c:v>
                </c:pt>
                <c:pt idx="3">
                  <c:v>0</c:v>
                </c:pt>
              </c:numCache>
            </c:numRef>
          </c:val>
          <c:extLst>
            <c:ext xmlns:c16="http://schemas.microsoft.com/office/drawing/2014/chart" uri="{C3380CC4-5D6E-409C-BE32-E72D297353CC}">
              <c16:uniqueId val="{00000006-BF50-4A7C-B1A0-C88D9E11807E}"/>
            </c:ext>
          </c:extLst>
        </c:ser>
        <c:ser>
          <c:idx val="4"/>
          <c:order val="4"/>
          <c:tx>
            <c:strRef>
              <c:f>'Input KOSTRA regnskapsdata'!$S$11</c:f>
              <c:strCache>
                <c:ptCount val="1"/>
                <c:pt idx="0">
                  <c:v>Maskiner og utstyr</c:v>
                </c:pt>
              </c:strCache>
            </c:strRef>
          </c:tx>
          <c:spPr>
            <a:solidFill>
              <a:schemeClr val="accent5"/>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regnskapsdata'!$T$11:$W$11</c:f>
              <c:numCache>
                <c:formatCode>#,##0</c:formatCode>
                <c:ptCount val="4"/>
                <c:pt idx="0">
                  <c:v>0</c:v>
                </c:pt>
                <c:pt idx="1">
                  <c:v>0</c:v>
                </c:pt>
                <c:pt idx="2">
                  <c:v>0</c:v>
                </c:pt>
                <c:pt idx="3">
                  <c:v>0</c:v>
                </c:pt>
              </c:numCache>
            </c:numRef>
          </c:val>
          <c:extLst>
            <c:ext xmlns:c16="http://schemas.microsoft.com/office/drawing/2014/chart" uri="{C3380CC4-5D6E-409C-BE32-E72D297353CC}">
              <c16:uniqueId val="{00000007-BF50-4A7C-B1A0-C88D9E11807E}"/>
            </c:ext>
          </c:extLst>
        </c:ser>
        <c:dLbls>
          <c:showLegendKey val="0"/>
          <c:showVal val="0"/>
          <c:showCatName val="0"/>
          <c:showSerName val="0"/>
          <c:showPercent val="0"/>
          <c:showBubbleSize val="0"/>
        </c:dLbls>
        <c:gapWidth val="219"/>
        <c:shape val="box"/>
        <c:axId val="842674544"/>
        <c:axId val="842676840"/>
        <c:axId val="645525848"/>
      </c:bar3DChart>
      <c:catAx>
        <c:axId val="842674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842676840"/>
        <c:crosses val="autoZero"/>
        <c:auto val="1"/>
        <c:lblAlgn val="ctr"/>
        <c:lblOffset val="100"/>
        <c:noMultiLvlLbl val="0"/>
      </c:catAx>
      <c:valAx>
        <c:axId val="8426768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842674544"/>
        <c:crosses val="autoZero"/>
        <c:crossBetween val="between"/>
      </c:valAx>
      <c:serAx>
        <c:axId val="645525848"/>
        <c:scaling>
          <c:orientation val="minMax"/>
        </c:scaling>
        <c:delete val="0"/>
        <c:axPos val="b"/>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842676840"/>
        <c:crosses val="autoZero"/>
      </c:ser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559389255309876"/>
          <c:y val="4.3859649122807015E-2"/>
          <c:w val="0.72652492469806584"/>
          <c:h val="0.40510869155709595"/>
        </c:manualLayout>
      </c:layout>
      <c:barChart>
        <c:barDir val="bar"/>
        <c:grouping val="percentStacked"/>
        <c:varyColors val="0"/>
        <c:ser>
          <c:idx val="3"/>
          <c:order val="0"/>
          <c:tx>
            <c:strRef>
              <c:f>'Vannbehandling - Resultater'!$A$20</c:f>
              <c:strCache>
                <c:ptCount val="1"/>
                <c:pt idx="0">
                  <c:v>ALS</c:v>
                </c:pt>
              </c:strCache>
            </c:strRef>
          </c:tx>
          <c:spPr>
            <a:solidFill>
              <a:schemeClr val="accent4"/>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Resultater'!$B$20</c15:sqref>
                  </c15:fullRef>
                </c:ext>
              </c:extLst>
              <c:f>'Vannbehandling - Resultater'!$B$20</c:f>
              <c:numCache>
                <c:formatCode>#,##0</c:formatCode>
                <c:ptCount val="1"/>
                <c:pt idx="0">
                  <c:v>0</c:v>
                </c:pt>
              </c:numCache>
            </c:numRef>
          </c:val>
          <c:extLst>
            <c:ext xmlns:c16="http://schemas.microsoft.com/office/drawing/2014/chart" uri="{C3380CC4-5D6E-409C-BE32-E72D297353CC}">
              <c16:uniqueId val="{00000000-7CA3-4DFA-BED1-449009DD1F9F}"/>
            </c:ext>
          </c:extLst>
        </c:ser>
        <c:ser>
          <c:idx val="2"/>
          <c:order val="1"/>
          <c:tx>
            <c:strRef>
              <c:f>'Vannbehandling - Resultater'!$A$23</c:f>
              <c:strCache>
                <c:ptCount val="1"/>
                <c:pt idx="0">
                  <c:v>Jern(III)Sulfat</c:v>
                </c:pt>
              </c:strCache>
            </c:strRef>
          </c:tx>
          <c:spPr>
            <a:solidFill>
              <a:schemeClr val="accent3"/>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Resultater'!$B$23:$D$23</c15:sqref>
                  </c15:fullRef>
                </c:ext>
              </c:extLst>
              <c:f>'Vannbehandling - Resultater'!$B$23</c:f>
              <c:numCache>
                <c:formatCode>#,##0</c:formatCode>
                <c:ptCount val="1"/>
                <c:pt idx="0">
                  <c:v>0</c:v>
                </c:pt>
              </c:numCache>
            </c:numRef>
          </c:val>
          <c:extLst>
            <c:ext xmlns:c16="http://schemas.microsoft.com/office/drawing/2014/chart" uri="{C3380CC4-5D6E-409C-BE32-E72D297353CC}">
              <c16:uniqueId val="{00000000-1935-4F81-9DF0-BD747E44748B}"/>
            </c:ext>
          </c:extLst>
        </c:ser>
        <c:ser>
          <c:idx val="4"/>
          <c:order val="2"/>
          <c:tx>
            <c:strRef>
              <c:f>'Vannbehandling - Resultater'!$A$25</c:f>
              <c:strCache>
                <c:ptCount val="1"/>
                <c:pt idx="0">
                  <c:v>PIX-118, PIX 318</c:v>
                </c:pt>
              </c:strCache>
            </c:strRef>
          </c:tx>
          <c:spPr>
            <a:solidFill>
              <a:schemeClr val="accent5"/>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Resultater'!$B$25:$D$25</c15:sqref>
                  </c15:fullRef>
                </c:ext>
              </c:extLst>
              <c:f>'Vannbehandling - Resultater'!$B$25</c:f>
              <c:numCache>
                <c:formatCode>#,##0</c:formatCode>
                <c:ptCount val="1"/>
                <c:pt idx="0">
                  <c:v>0</c:v>
                </c:pt>
              </c:numCache>
            </c:numRef>
          </c:val>
          <c:extLst>
            <c:ext xmlns:c16="http://schemas.microsoft.com/office/drawing/2014/chart" uri="{C3380CC4-5D6E-409C-BE32-E72D297353CC}">
              <c16:uniqueId val="{00000001-1935-4F81-9DF0-BD747E44748B}"/>
            </c:ext>
          </c:extLst>
        </c:ser>
        <c:ser>
          <c:idx val="6"/>
          <c:order val="3"/>
          <c:tx>
            <c:strRef>
              <c:f>'Vannbehandling - Resultater'!$A$27</c:f>
              <c:strCache>
                <c:ptCount val="1"/>
                <c:pt idx="0">
                  <c:v>PIX-113</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Resultater'!$B$27:$D$27</c15:sqref>
                  </c15:fullRef>
                </c:ext>
              </c:extLst>
              <c:f>'Vannbehandling - Resultater'!$B$27</c:f>
              <c:numCache>
                <c:formatCode>#,##0</c:formatCode>
                <c:ptCount val="1"/>
                <c:pt idx="0">
                  <c:v>0</c:v>
                </c:pt>
              </c:numCache>
            </c:numRef>
          </c:val>
          <c:extLst>
            <c:ext xmlns:c16="http://schemas.microsoft.com/office/drawing/2014/chart" uri="{C3380CC4-5D6E-409C-BE32-E72D297353CC}">
              <c16:uniqueId val="{00000002-1935-4F81-9DF0-BD747E44748B}"/>
            </c:ext>
          </c:extLst>
        </c:ser>
        <c:ser>
          <c:idx val="8"/>
          <c:order val="4"/>
          <c:tx>
            <c:strRef>
              <c:f>'Vannbehandling - Resultater'!$A$29</c:f>
              <c:strCache>
                <c:ptCount val="1"/>
                <c:pt idx="0">
                  <c:v>PIX-111, Plusjern S314</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Resultater'!$B$29:$D$29</c15:sqref>
                  </c15:fullRef>
                </c:ext>
              </c:extLst>
              <c:f>'Vannbehandling - Resultater'!$B$29</c:f>
              <c:numCache>
                <c:formatCode>#,##0</c:formatCode>
                <c:ptCount val="1"/>
                <c:pt idx="0">
                  <c:v>0</c:v>
                </c:pt>
              </c:numCache>
            </c:numRef>
          </c:val>
          <c:extLst>
            <c:ext xmlns:c16="http://schemas.microsoft.com/office/drawing/2014/chart" uri="{C3380CC4-5D6E-409C-BE32-E72D297353CC}">
              <c16:uniqueId val="{00000003-1935-4F81-9DF0-BD747E44748B}"/>
            </c:ext>
          </c:extLst>
        </c:ser>
        <c:ser>
          <c:idx val="9"/>
          <c:order val="5"/>
          <c:tx>
            <c:strRef>
              <c:f>'Vannbehandling - Resultater'!$A$30</c:f>
              <c:strCache>
                <c:ptCount val="1"/>
                <c:pt idx="0">
                  <c:v>PIX-110</c:v>
                </c:pt>
              </c:strCache>
            </c:strRef>
          </c:tx>
          <c:spPr>
            <a:solidFill>
              <a:schemeClr val="accent4">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Resultater'!$B$30:$D$30</c15:sqref>
                  </c15:fullRef>
                </c:ext>
              </c:extLst>
              <c:f>'Vannbehandling - Resultater'!$B$30</c:f>
              <c:numCache>
                <c:formatCode>#,##0</c:formatCode>
                <c:ptCount val="1"/>
                <c:pt idx="0">
                  <c:v>0</c:v>
                </c:pt>
              </c:numCache>
            </c:numRef>
          </c:val>
          <c:extLst>
            <c:ext xmlns:c16="http://schemas.microsoft.com/office/drawing/2014/chart" uri="{C3380CC4-5D6E-409C-BE32-E72D297353CC}">
              <c16:uniqueId val="{00000004-1935-4F81-9DF0-BD747E44748B}"/>
            </c:ext>
          </c:extLst>
        </c:ser>
        <c:ser>
          <c:idx val="11"/>
          <c:order val="6"/>
          <c:tx>
            <c:strRef>
              <c:f>'Vannbehandling - Resultater'!$A$32</c:f>
              <c:strCache>
                <c:ptCount val="1"/>
                <c:pt idx="0">
                  <c:v>Ekomix 1091</c:v>
                </c:pt>
              </c:strCache>
            </c:strRef>
          </c:tx>
          <c:spPr>
            <a:solidFill>
              <a:schemeClr val="accent6">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Resultater'!$B$32:$D$32</c15:sqref>
                  </c15:fullRef>
                </c:ext>
              </c:extLst>
              <c:f>'Vannbehandling - Resultater'!$B$32</c:f>
              <c:numCache>
                <c:formatCode>#,##0</c:formatCode>
                <c:ptCount val="1"/>
                <c:pt idx="0">
                  <c:v>0</c:v>
                </c:pt>
              </c:numCache>
            </c:numRef>
          </c:val>
          <c:extLst>
            <c:ext xmlns:c16="http://schemas.microsoft.com/office/drawing/2014/chart" uri="{C3380CC4-5D6E-409C-BE32-E72D297353CC}">
              <c16:uniqueId val="{00000005-1935-4F81-9DF0-BD747E44748B}"/>
            </c:ext>
          </c:extLst>
        </c:ser>
        <c:ser>
          <c:idx val="13"/>
          <c:order val="7"/>
          <c:tx>
            <c:strRef>
              <c:f>'Vannbehandling - Resultater'!$A$34</c:f>
              <c:strCache>
                <c:ptCount val="1"/>
                <c:pt idx="0">
                  <c:v>PAX-18, Ekoflock 89</c:v>
                </c:pt>
              </c:strCache>
            </c:strRef>
          </c:tx>
          <c:spPr>
            <a:solidFill>
              <a:schemeClr val="accent2">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Resultater'!$B$34:$D$34</c15:sqref>
                  </c15:fullRef>
                </c:ext>
              </c:extLst>
              <c:f>'Vannbehandling - Resultater'!$B$34</c:f>
              <c:numCache>
                <c:formatCode>#,##0</c:formatCode>
                <c:ptCount val="1"/>
                <c:pt idx="0">
                  <c:v>0</c:v>
                </c:pt>
              </c:numCache>
            </c:numRef>
          </c:val>
          <c:extLst>
            <c:ext xmlns:c16="http://schemas.microsoft.com/office/drawing/2014/chart" uri="{C3380CC4-5D6E-409C-BE32-E72D297353CC}">
              <c16:uniqueId val="{00000006-1935-4F81-9DF0-BD747E44748B}"/>
            </c:ext>
          </c:extLst>
        </c:ser>
        <c:ser>
          <c:idx val="14"/>
          <c:order val="8"/>
          <c:tx>
            <c:strRef>
              <c:f>'Vannbehandling - Resultater'!$A$35</c:f>
              <c:strCache>
                <c:ptCount val="1"/>
                <c:pt idx="0">
                  <c:v>PAX-15, XL61</c:v>
                </c:pt>
              </c:strCache>
            </c:strRef>
          </c:tx>
          <c:spPr>
            <a:solidFill>
              <a:schemeClr val="accent3">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Resultater'!$B$35:$D$35</c15:sqref>
                  </c15:fullRef>
                </c:ext>
              </c:extLst>
              <c:f>'Vannbehandling - Resultater'!$B$35</c:f>
              <c:numCache>
                <c:formatCode>#,##0</c:formatCode>
                <c:ptCount val="1"/>
                <c:pt idx="0">
                  <c:v>0</c:v>
                </c:pt>
              </c:numCache>
            </c:numRef>
          </c:val>
          <c:extLst>
            <c:ext xmlns:c16="http://schemas.microsoft.com/office/drawing/2014/chart" uri="{C3380CC4-5D6E-409C-BE32-E72D297353CC}">
              <c16:uniqueId val="{00000007-1935-4F81-9DF0-BD747E44748B}"/>
            </c:ext>
          </c:extLst>
        </c:ser>
        <c:ser>
          <c:idx val="15"/>
          <c:order val="9"/>
          <c:tx>
            <c:strRef>
              <c:f>'Vannbehandling - Resultater'!$A$36</c:f>
              <c:strCache>
                <c:ptCount val="1"/>
                <c:pt idx="0">
                  <c:v>PAX-LX100</c:v>
                </c:pt>
              </c:strCache>
            </c:strRef>
          </c:tx>
          <c:spPr>
            <a:solidFill>
              <a:schemeClr val="accent4">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Resultater'!$B$36:$D$36</c15:sqref>
                  </c15:fullRef>
                </c:ext>
              </c:extLst>
              <c:f>'Vannbehandling - Resultater'!$B$36</c:f>
              <c:numCache>
                <c:formatCode>#,##0</c:formatCode>
                <c:ptCount val="1"/>
                <c:pt idx="0">
                  <c:v>0</c:v>
                </c:pt>
              </c:numCache>
            </c:numRef>
          </c:val>
          <c:extLst>
            <c:ext xmlns:c16="http://schemas.microsoft.com/office/drawing/2014/chart" uri="{C3380CC4-5D6E-409C-BE32-E72D297353CC}">
              <c16:uniqueId val="{00000008-1935-4F81-9DF0-BD747E44748B}"/>
            </c:ext>
          </c:extLst>
        </c:ser>
        <c:ser>
          <c:idx val="16"/>
          <c:order val="10"/>
          <c:tx>
            <c:strRef>
              <c:f>'Vannbehandling - Resultater'!$A$37</c:f>
              <c:strCache>
                <c:ptCount val="1"/>
                <c:pt idx="0">
                  <c:v>PAX-215</c:v>
                </c:pt>
              </c:strCache>
            </c:strRef>
          </c:tx>
          <c:spPr>
            <a:solidFill>
              <a:schemeClr val="accent5">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Resultater'!$B$37:$D$37</c15:sqref>
                  </c15:fullRef>
                </c:ext>
              </c:extLst>
              <c:f>'Vannbehandling - Resultater'!$B$37</c:f>
              <c:numCache>
                <c:formatCode>#,##0</c:formatCode>
                <c:ptCount val="1"/>
                <c:pt idx="0">
                  <c:v>0</c:v>
                </c:pt>
              </c:numCache>
            </c:numRef>
          </c:val>
          <c:extLst>
            <c:ext xmlns:c16="http://schemas.microsoft.com/office/drawing/2014/chart" uri="{C3380CC4-5D6E-409C-BE32-E72D297353CC}">
              <c16:uniqueId val="{00000009-1935-4F81-9DF0-BD747E44748B}"/>
            </c:ext>
          </c:extLst>
        </c:ser>
        <c:ser>
          <c:idx val="0"/>
          <c:order val="11"/>
          <c:tx>
            <c:strRef>
              <c:f>'Vannbehandling - Input'!$C$41</c:f>
              <c:strCache>
                <c:ptCount val="1"/>
                <c:pt idx="0">
                  <c:v>Polyakrylamid</c:v>
                </c:pt>
              </c:strCache>
            </c:strRef>
          </c:tx>
          <c:spPr>
            <a:solidFill>
              <a:schemeClr val="accent1"/>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Resultater'!$B$39</c15:sqref>
                  </c15:fullRef>
                </c:ext>
              </c:extLst>
              <c:f>'Vannbehandling - Resultater'!$B$39</c:f>
              <c:numCache>
                <c:formatCode>#,##0</c:formatCode>
                <c:ptCount val="1"/>
                <c:pt idx="0">
                  <c:v>0</c:v>
                </c:pt>
              </c:numCache>
            </c:numRef>
          </c:val>
          <c:extLst>
            <c:ext xmlns:c16="http://schemas.microsoft.com/office/drawing/2014/chart" uri="{C3380CC4-5D6E-409C-BE32-E72D297353CC}">
              <c16:uniqueId val="{00000000-A1BB-490F-8500-3AB7A3735963}"/>
            </c:ext>
          </c:extLst>
        </c:ser>
        <c:ser>
          <c:idx val="1"/>
          <c:order val="12"/>
          <c:tx>
            <c:strRef>
              <c:f>'Vannbehandling - Resultater'!$A$40</c:f>
              <c:strCache>
                <c:ptCount val="1"/>
                <c:pt idx="0">
                  <c:v>Zetag 8180/7550/8147</c:v>
                </c:pt>
              </c:strCache>
            </c:strRef>
          </c:tx>
          <c:spPr>
            <a:solidFill>
              <a:schemeClr val="accent2"/>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Resultater'!$B$40</c15:sqref>
                  </c15:fullRef>
                </c:ext>
              </c:extLst>
              <c:f>'Vannbehandling - Resultater'!$B$40</c:f>
              <c:numCache>
                <c:formatCode>#,##0</c:formatCode>
                <c:ptCount val="1"/>
                <c:pt idx="0">
                  <c:v>0</c:v>
                </c:pt>
              </c:numCache>
            </c:numRef>
          </c:val>
          <c:extLst>
            <c:ext xmlns:c16="http://schemas.microsoft.com/office/drawing/2014/chart" uri="{C3380CC4-5D6E-409C-BE32-E72D297353CC}">
              <c16:uniqueId val="{00000000-6272-4F56-8F2E-277BA226D87D}"/>
            </c:ext>
          </c:extLst>
        </c:ser>
        <c:dLbls>
          <c:showLegendKey val="0"/>
          <c:showVal val="0"/>
          <c:showCatName val="0"/>
          <c:showSerName val="0"/>
          <c:showPercent val="0"/>
          <c:showBubbleSize val="0"/>
        </c:dLbls>
        <c:gapWidth val="150"/>
        <c:overlap val="100"/>
        <c:axId val="759087608"/>
        <c:axId val="759090232"/>
      </c:barChart>
      <c:catAx>
        <c:axId val="759087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90232"/>
        <c:crosses val="autoZero"/>
        <c:auto val="1"/>
        <c:lblAlgn val="ctr"/>
        <c:lblOffset val="100"/>
        <c:noMultiLvlLbl val="0"/>
      </c:catAx>
      <c:valAx>
        <c:axId val="7590902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87608"/>
        <c:crosses val="autoZero"/>
        <c:crossBetween val="between"/>
      </c:valAx>
      <c:spPr>
        <a:solidFill>
          <a:schemeClr val="bg2"/>
        </a:solidFill>
        <a:ln>
          <a:noFill/>
        </a:ln>
        <a:effectLst/>
      </c:spPr>
    </c:plotArea>
    <c:legend>
      <c:legendPos val="b"/>
      <c:layout>
        <c:manualLayout>
          <c:xMode val="edge"/>
          <c:yMode val="edge"/>
          <c:x val="7.2531500905560237E-2"/>
          <c:y val="0.58931231084152758"/>
          <c:w val="0.88870048914340261"/>
          <c:h val="0.2754256914296480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Resultater'!$A$43</c:f>
              <c:strCache>
                <c:ptCount val="1"/>
                <c:pt idx="0">
                  <c:v>Metanol</c:v>
                </c:pt>
              </c:strCache>
            </c:strRef>
          </c:tx>
          <c:spPr>
            <a:solidFill>
              <a:schemeClr val="accent1"/>
            </a:solidFill>
            <a:ln>
              <a:noFill/>
            </a:ln>
            <a:effectLst/>
          </c:spPr>
          <c:invertIfNegative val="0"/>
          <c:cat>
            <c:strRef>
              <c:f>'Vannbehandling - Resultater'!$B$42</c:f>
              <c:strCache>
                <c:ptCount val="1"/>
                <c:pt idx="0">
                  <c:v>kg CO₂ ekv./år</c:v>
                </c:pt>
              </c:strCache>
            </c:strRef>
          </c:cat>
          <c:val>
            <c:numRef>
              <c:f>'Vannbehandling - Resultater'!$B$43</c:f>
              <c:numCache>
                <c:formatCode>#,##0</c:formatCode>
                <c:ptCount val="1"/>
                <c:pt idx="0">
                  <c:v>0</c:v>
                </c:pt>
              </c:numCache>
            </c:numRef>
          </c:val>
          <c:extLst>
            <c:ext xmlns:c16="http://schemas.microsoft.com/office/drawing/2014/chart" uri="{C3380CC4-5D6E-409C-BE32-E72D297353CC}">
              <c16:uniqueId val="{00000000-465D-4658-B0C9-03DECAAECA97}"/>
            </c:ext>
          </c:extLst>
        </c:ser>
        <c:ser>
          <c:idx val="1"/>
          <c:order val="1"/>
          <c:tx>
            <c:strRef>
              <c:f>'Vannbehandling - Resultater'!$A$44</c:f>
              <c:strCache>
                <c:ptCount val="1"/>
                <c:pt idx="0">
                  <c:v>Etanol</c:v>
                </c:pt>
              </c:strCache>
            </c:strRef>
          </c:tx>
          <c:spPr>
            <a:solidFill>
              <a:schemeClr val="accent2"/>
            </a:solidFill>
            <a:ln>
              <a:noFill/>
            </a:ln>
            <a:effectLst/>
          </c:spPr>
          <c:invertIfNegative val="0"/>
          <c:cat>
            <c:strRef>
              <c:f>'Vannbehandling - Resultater'!$B$42</c:f>
              <c:strCache>
                <c:ptCount val="1"/>
                <c:pt idx="0">
                  <c:v>kg CO₂ ekv./år</c:v>
                </c:pt>
              </c:strCache>
            </c:strRef>
          </c:cat>
          <c:val>
            <c:numRef>
              <c:f>'Vannbehandling - Resultater'!$B$44</c:f>
              <c:numCache>
                <c:formatCode>#,##0</c:formatCode>
                <c:ptCount val="1"/>
                <c:pt idx="0">
                  <c:v>0</c:v>
                </c:pt>
              </c:numCache>
            </c:numRef>
          </c:val>
          <c:extLst>
            <c:ext xmlns:c16="http://schemas.microsoft.com/office/drawing/2014/chart" uri="{C3380CC4-5D6E-409C-BE32-E72D297353CC}">
              <c16:uniqueId val="{00000001-465D-4658-B0C9-03DECAAECA97}"/>
            </c:ext>
          </c:extLst>
        </c:ser>
        <c:ser>
          <c:idx val="2"/>
          <c:order val="2"/>
          <c:tx>
            <c:strRef>
              <c:f>'Vannbehandling - Resultater'!$A$45</c:f>
              <c:strCache>
                <c:ptCount val="1"/>
                <c:pt idx="0">
                  <c:v>Sekundol 70</c:v>
                </c:pt>
              </c:strCache>
            </c:strRef>
          </c:tx>
          <c:spPr>
            <a:solidFill>
              <a:schemeClr val="accent3"/>
            </a:solidFill>
            <a:ln>
              <a:noFill/>
            </a:ln>
            <a:effectLst/>
          </c:spPr>
          <c:invertIfNegative val="0"/>
          <c:cat>
            <c:strRef>
              <c:f>'Vannbehandling - Resultater'!$B$42</c:f>
              <c:strCache>
                <c:ptCount val="1"/>
                <c:pt idx="0">
                  <c:v>kg CO₂ ekv./år</c:v>
                </c:pt>
              </c:strCache>
            </c:strRef>
          </c:cat>
          <c:val>
            <c:numRef>
              <c:f>'Vannbehandling - Resultater'!$B$45</c:f>
              <c:numCache>
                <c:formatCode>#,##0</c:formatCode>
                <c:ptCount val="1"/>
                <c:pt idx="0">
                  <c:v>0</c:v>
                </c:pt>
              </c:numCache>
            </c:numRef>
          </c:val>
          <c:extLst>
            <c:ext xmlns:c16="http://schemas.microsoft.com/office/drawing/2014/chart" uri="{C3380CC4-5D6E-409C-BE32-E72D297353CC}">
              <c16:uniqueId val="{00000002-465D-4658-B0C9-03DECAAECA97}"/>
            </c:ext>
          </c:extLst>
        </c:ser>
        <c:ser>
          <c:idx val="3"/>
          <c:order val="3"/>
          <c:tx>
            <c:strRef>
              <c:f>'Vannbehandling - Resultater'!$A$46</c:f>
              <c:strCache>
                <c:ptCount val="1"/>
                <c:pt idx="0">
                  <c:v>Sekundol 85</c:v>
                </c:pt>
              </c:strCache>
            </c:strRef>
          </c:tx>
          <c:spPr>
            <a:solidFill>
              <a:schemeClr val="accent4"/>
            </a:solidFill>
            <a:ln>
              <a:noFill/>
            </a:ln>
            <a:effectLst/>
          </c:spPr>
          <c:invertIfNegative val="0"/>
          <c:cat>
            <c:strRef>
              <c:f>'Vannbehandling - Resultater'!$B$42</c:f>
              <c:strCache>
                <c:ptCount val="1"/>
                <c:pt idx="0">
                  <c:v>kg CO₂ ekv./år</c:v>
                </c:pt>
              </c:strCache>
            </c:strRef>
          </c:cat>
          <c:val>
            <c:numRef>
              <c:f>'Vannbehandling - Resultater'!$B$46</c:f>
              <c:numCache>
                <c:formatCode>#,##0</c:formatCode>
                <c:ptCount val="1"/>
                <c:pt idx="0">
                  <c:v>0</c:v>
                </c:pt>
              </c:numCache>
            </c:numRef>
          </c:val>
          <c:extLst>
            <c:ext xmlns:c16="http://schemas.microsoft.com/office/drawing/2014/chart" uri="{C3380CC4-5D6E-409C-BE32-E72D297353CC}">
              <c16:uniqueId val="{00000003-465D-4658-B0C9-03DECAAECA97}"/>
            </c:ext>
          </c:extLst>
        </c:ser>
        <c:ser>
          <c:idx val="4"/>
          <c:order val="4"/>
          <c:tx>
            <c:strRef>
              <c:f>'Vannbehandling - Resultater'!$A$47</c:f>
              <c:strCache>
                <c:ptCount val="1"/>
                <c:pt idx="0">
                  <c:v>Mosstanol</c:v>
                </c:pt>
              </c:strCache>
            </c:strRef>
          </c:tx>
          <c:spPr>
            <a:solidFill>
              <a:schemeClr val="accent5"/>
            </a:solidFill>
            <a:ln>
              <a:noFill/>
            </a:ln>
            <a:effectLst/>
          </c:spPr>
          <c:invertIfNegative val="0"/>
          <c:cat>
            <c:strRef>
              <c:f>'Vannbehandling - Resultater'!$B$42</c:f>
              <c:strCache>
                <c:ptCount val="1"/>
                <c:pt idx="0">
                  <c:v>kg CO₂ ekv./år</c:v>
                </c:pt>
              </c:strCache>
            </c:strRef>
          </c:cat>
          <c:val>
            <c:numRef>
              <c:f>'Vannbehandling - Resultater'!$B$47</c:f>
              <c:numCache>
                <c:formatCode>#,##0</c:formatCode>
                <c:ptCount val="1"/>
                <c:pt idx="0">
                  <c:v>0</c:v>
                </c:pt>
              </c:numCache>
            </c:numRef>
          </c:val>
          <c:extLst>
            <c:ext xmlns:c16="http://schemas.microsoft.com/office/drawing/2014/chart" uri="{C3380CC4-5D6E-409C-BE32-E72D297353CC}">
              <c16:uniqueId val="{00000004-465D-4658-B0C9-03DECAAECA97}"/>
            </c:ext>
          </c:extLst>
        </c:ser>
        <c:ser>
          <c:idx val="5"/>
          <c:order val="5"/>
          <c:tx>
            <c:strRef>
              <c:f>'Vannbehandling - Resultater'!$A$48</c:f>
              <c:strCache>
                <c:ptCount val="1"/>
                <c:pt idx="0">
                  <c:v>Eddiksyre</c:v>
                </c:pt>
              </c:strCache>
            </c:strRef>
          </c:tx>
          <c:spPr>
            <a:solidFill>
              <a:schemeClr val="accent6"/>
            </a:solidFill>
            <a:ln>
              <a:noFill/>
            </a:ln>
            <a:effectLst/>
          </c:spPr>
          <c:invertIfNegative val="0"/>
          <c:cat>
            <c:strRef>
              <c:f>'Vannbehandling - Resultater'!$B$42</c:f>
              <c:strCache>
                <c:ptCount val="1"/>
                <c:pt idx="0">
                  <c:v>kg CO₂ ekv./år</c:v>
                </c:pt>
              </c:strCache>
            </c:strRef>
          </c:cat>
          <c:val>
            <c:numRef>
              <c:f>'Vannbehandling - Resultater'!$B$48</c:f>
              <c:numCache>
                <c:formatCode>#,##0</c:formatCode>
                <c:ptCount val="1"/>
                <c:pt idx="0">
                  <c:v>0</c:v>
                </c:pt>
              </c:numCache>
            </c:numRef>
          </c:val>
          <c:extLst>
            <c:ext xmlns:c16="http://schemas.microsoft.com/office/drawing/2014/chart" uri="{C3380CC4-5D6E-409C-BE32-E72D297353CC}">
              <c16:uniqueId val="{00000005-465D-4658-B0C9-03DECAAECA97}"/>
            </c:ext>
          </c:extLst>
        </c:ser>
        <c:ser>
          <c:idx val="6"/>
          <c:order val="6"/>
          <c:tx>
            <c:strRef>
              <c:f>'Vannbehandling - Resultater'!$A$49</c:f>
              <c:strCache>
                <c:ptCount val="1"/>
                <c:pt idx="0">
                  <c:v>Glyserin</c:v>
                </c:pt>
              </c:strCache>
            </c:strRef>
          </c:tx>
          <c:spPr>
            <a:solidFill>
              <a:schemeClr val="accent1">
                <a:lumMod val="60000"/>
              </a:schemeClr>
            </a:solidFill>
            <a:ln>
              <a:noFill/>
            </a:ln>
            <a:effectLst/>
          </c:spPr>
          <c:invertIfNegative val="0"/>
          <c:cat>
            <c:strRef>
              <c:f>'Vannbehandling - Resultater'!$B$42</c:f>
              <c:strCache>
                <c:ptCount val="1"/>
                <c:pt idx="0">
                  <c:v>kg CO₂ ekv./år</c:v>
                </c:pt>
              </c:strCache>
            </c:strRef>
          </c:cat>
          <c:val>
            <c:numRef>
              <c:f>'Vannbehandling - Resultater'!$B$49</c:f>
              <c:numCache>
                <c:formatCode>#,##0</c:formatCode>
                <c:ptCount val="1"/>
                <c:pt idx="0">
                  <c:v>0</c:v>
                </c:pt>
              </c:numCache>
            </c:numRef>
          </c:val>
          <c:extLst>
            <c:ext xmlns:c16="http://schemas.microsoft.com/office/drawing/2014/chart" uri="{C3380CC4-5D6E-409C-BE32-E72D297353CC}">
              <c16:uniqueId val="{00000006-465D-4658-B0C9-03DECAAECA97}"/>
            </c:ext>
          </c:extLst>
        </c:ser>
        <c:dLbls>
          <c:showLegendKey val="0"/>
          <c:showVal val="0"/>
          <c:showCatName val="0"/>
          <c:showSerName val="0"/>
          <c:showPercent val="0"/>
          <c:showBubbleSize val="0"/>
        </c:dLbls>
        <c:gapWidth val="150"/>
        <c:overlap val="100"/>
        <c:axId val="662568040"/>
        <c:axId val="662569680"/>
      </c:barChart>
      <c:catAx>
        <c:axId val="662568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9680"/>
        <c:crosses val="autoZero"/>
        <c:auto val="1"/>
        <c:lblAlgn val="ctr"/>
        <c:lblOffset val="100"/>
        <c:noMultiLvlLbl val="0"/>
      </c:catAx>
      <c:valAx>
        <c:axId val="6625696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8040"/>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18"/>
          <c:order val="0"/>
          <c:tx>
            <c:strRef>
              <c:f>'Vannbehandling - Resultater'!$A$59</c:f>
              <c:strCache>
                <c:ptCount val="1"/>
                <c:pt idx="0">
                  <c:v>Ammoniakk (NH3)</c:v>
                </c:pt>
              </c:strCache>
            </c:strRef>
          </c:tx>
          <c:spPr>
            <a:solidFill>
              <a:schemeClr val="accent1">
                <a:lumMod val="80000"/>
              </a:schemeClr>
            </a:solidFill>
            <a:ln>
              <a:noFill/>
            </a:ln>
            <a:effectLst/>
          </c:spPr>
          <c:invertIfNegative val="0"/>
          <c:cat>
            <c:strRef>
              <c:f>'Vannbehandling - Resultater'!$B$58</c:f>
              <c:strCache>
                <c:ptCount val="1"/>
                <c:pt idx="0">
                  <c:v>kg CO₂ ekv./år</c:v>
                </c:pt>
              </c:strCache>
            </c:strRef>
          </c:cat>
          <c:val>
            <c:numRef>
              <c:f>'Vannbehandling - Resultater'!$B$59</c:f>
              <c:numCache>
                <c:formatCode>#,##0</c:formatCode>
                <c:ptCount val="1"/>
                <c:pt idx="0">
                  <c:v>0</c:v>
                </c:pt>
              </c:numCache>
            </c:numRef>
          </c:val>
          <c:extLst>
            <c:ext xmlns:c16="http://schemas.microsoft.com/office/drawing/2014/chart" uri="{C3380CC4-5D6E-409C-BE32-E72D297353CC}">
              <c16:uniqueId val="{00000000-E61A-4EDA-B1BF-373F97AF57C6}"/>
            </c:ext>
          </c:extLst>
        </c:ser>
        <c:ser>
          <c:idx val="0"/>
          <c:order val="1"/>
          <c:tx>
            <c:strRef>
              <c:f>'Vannbehandling - Resultater'!$A$60</c:f>
              <c:strCache>
                <c:ptCount val="1"/>
                <c:pt idx="0">
                  <c:v>Aktivt kull - biogen opprinnelse</c:v>
                </c:pt>
              </c:strCache>
            </c:strRef>
          </c:tx>
          <c:spPr>
            <a:solidFill>
              <a:schemeClr val="accent1"/>
            </a:solidFill>
            <a:ln>
              <a:noFill/>
            </a:ln>
            <a:effectLst/>
          </c:spPr>
          <c:invertIfNegative val="0"/>
          <c:cat>
            <c:strRef>
              <c:f>'Vannbehandling - Resultater'!$B$58</c:f>
              <c:strCache>
                <c:ptCount val="1"/>
                <c:pt idx="0">
                  <c:v>kg CO₂ ekv./år</c:v>
                </c:pt>
              </c:strCache>
            </c:strRef>
          </c:cat>
          <c:val>
            <c:numRef>
              <c:f>'Vannbehandling - Resultater'!$B$60</c:f>
              <c:numCache>
                <c:formatCode>#,##0</c:formatCode>
                <c:ptCount val="1"/>
                <c:pt idx="0">
                  <c:v>0</c:v>
                </c:pt>
              </c:numCache>
            </c:numRef>
          </c:val>
          <c:extLst>
            <c:ext xmlns:c16="http://schemas.microsoft.com/office/drawing/2014/chart" uri="{C3380CC4-5D6E-409C-BE32-E72D297353CC}">
              <c16:uniqueId val="{00000000-29DF-4205-A997-D9C793D529EE}"/>
            </c:ext>
          </c:extLst>
        </c:ser>
        <c:ser>
          <c:idx val="1"/>
          <c:order val="2"/>
          <c:tx>
            <c:strRef>
              <c:f>'Vannbehandling - Resultater'!$A$61</c:f>
              <c:strCache>
                <c:ptCount val="1"/>
                <c:pt idx="0">
                  <c:v>Aktivt kull - fossil opprinnelse</c:v>
                </c:pt>
              </c:strCache>
            </c:strRef>
          </c:tx>
          <c:spPr>
            <a:solidFill>
              <a:schemeClr val="accent2"/>
            </a:solidFill>
            <a:ln>
              <a:noFill/>
            </a:ln>
            <a:effectLst/>
          </c:spPr>
          <c:invertIfNegative val="0"/>
          <c:cat>
            <c:strRef>
              <c:f>'Vannbehandling - Resultater'!$B$58</c:f>
              <c:strCache>
                <c:ptCount val="1"/>
                <c:pt idx="0">
                  <c:v>kg CO₂ ekv./år</c:v>
                </c:pt>
              </c:strCache>
            </c:strRef>
          </c:cat>
          <c:val>
            <c:numRef>
              <c:f>'Vannbehandling - Resultater'!$B$61</c:f>
              <c:numCache>
                <c:formatCode>#,##0</c:formatCode>
                <c:ptCount val="1"/>
                <c:pt idx="0">
                  <c:v>0</c:v>
                </c:pt>
              </c:numCache>
            </c:numRef>
          </c:val>
          <c:extLst>
            <c:ext xmlns:c16="http://schemas.microsoft.com/office/drawing/2014/chart" uri="{C3380CC4-5D6E-409C-BE32-E72D297353CC}">
              <c16:uniqueId val="{00000001-29DF-4205-A997-D9C793D529EE}"/>
            </c:ext>
          </c:extLst>
        </c:ser>
        <c:ser>
          <c:idx val="2"/>
          <c:order val="3"/>
          <c:tx>
            <c:strRef>
              <c:f>'Vannbehandling - Resultater'!$A$62</c:f>
              <c:strCache>
                <c:ptCount val="1"/>
                <c:pt idx="0">
                  <c:v>Aktivt kull - regenerert</c:v>
                </c:pt>
              </c:strCache>
            </c:strRef>
          </c:tx>
          <c:spPr>
            <a:solidFill>
              <a:schemeClr val="accent3"/>
            </a:solidFill>
            <a:ln>
              <a:noFill/>
            </a:ln>
            <a:effectLst/>
          </c:spPr>
          <c:invertIfNegative val="0"/>
          <c:cat>
            <c:strRef>
              <c:f>'Vannbehandling - Resultater'!$B$58</c:f>
              <c:strCache>
                <c:ptCount val="1"/>
                <c:pt idx="0">
                  <c:v>kg CO₂ ekv./år</c:v>
                </c:pt>
              </c:strCache>
            </c:strRef>
          </c:cat>
          <c:val>
            <c:numRef>
              <c:f>'Vannbehandling - Resultater'!$B$62</c:f>
              <c:numCache>
                <c:formatCode>#,##0</c:formatCode>
                <c:ptCount val="1"/>
                <c:pt idx="0">
                  <c:v>0</c:v>
                </c:pt>
              </c:numCache>
            </c:numRef>
          </c:val>
          <c:extLst>
            <c:ext xmlns:c16="http://schemas.microsoft.com/office/drawing/2014/chart" uri="{C3380CC4-5D6E-409C-BE32-E72D297353CC}">
              <c16:uniqueId val="{00000002-29DF-4205-A997-D9C793D529EE}"/>
            </c:ext>
          </c:extLst>
        </c:ser>
        <c:ser>
          <c:idx val="3"/>
          <c:order val="4"/>
          <c:tx>
            <c:strRef>
              <c:f>'Vannbehandling - Resultater'!$A$63</c:f>
              <c:strCache>
                <c:ptCount val="1"/>
                <c:pt idx="0">
                  <c:v>Sitronsyre</c:v>
                </c:pt>
              </c:strCache>
            </c:strRef>
          </c:tx>
          <c:spPr>
            <a:solidFill>
              <a:schemeClr val="accent4"/>
            </a:solidFill>
            <a:ln>
              <a:noFill/>
            </a:ln>
            <a:effectLst/>
          </c:spPr>
          <c:invertIfNegative val="0"/>
          <c:cat>
            <c:strRef>
              <c:f>'Vannbehandling - Resultater'!$B$58</c:f>
              <c:strCache>
                <c:ptCount val="1"/>
                <c:pt idx="0">
                  <c:v>kg CO₂ ekv./år</c:v>
                </c:pt>
              </c:strCache>
            </c:strRef>
          </c:cat>
          <c:val>
            <c:numRef>
              <c:f>'Vannbehandling - Resultater'!$B$63</c:f>
              <c:numCache>
                <c:formatCode>#,##0</c:formatCode>
                <c:ptCount val="1"/>
                <c:pt idx="0">
                  <c:v>0</c:v>
                </c:pt>
              </c:numCache>
            </c:numRef>
          </c:val>
          <c:extLst>
            <c:ext xmlns:c16="http://schemas.microsoft.com/office/drawing/2014/chart" uri="{C3380CC4-5D6E-409C-BE32-E72D297353CC}">
              <c16:uniqueId val="{00000003-29DF-4205-A997-D9C793D529EE}"/>
            </c:ext>
          </c:extLst>
        </c:ser>
        <c:ser>
          <c:idx val="4"/>
          <c:order val="5"/>
          <c:tx>
            <c:strRef>
              <c:f>'Vannbehandling - Resultater'!$A$64</c:f>
              <c:strCache>
                <c:ptCount val="1"/>
                <c:pt idx="0">
                  <c:v>CO₂ til vannbehandling</c:v>
                </c:pt>
              </c:strCache>
            </c:strRef>
          </c:tx>
          <c:spPr>
            <a:solidFill>
              <a:schemeClr val="accent5"/>
            </a:solidFill>
            <a:ln>
              <a:noFill/>
            </a:ln>
            <a:effectLst/>
          </c:spPr>
          <c:invertIfNegative val="0"/>
          <c:cat>
            <c:strRef>
              <c:f>'Vannbehandling - Resultater'!$B$58</c:f>
              <c:strCache>
                <c:ptCount val="1"/>
                <c:pt idx="0">
                  <c:v>kg CO₂ ekv./år</c:v>
                </c:pt>
              </c:strCache>
            </c:strRef>
          </c:cat>
          <c:val>
            <c:numRef>
              <c:f>'Vannbehandling - Resultater'!$B$64</c:f>
              <c:numCache>
                <c:formatCode>#,##0</c:formatCode>
                <c:ptCount val="1"/>
                <c:pt idx="0">
                  <c:v>0</c:v>
                </c:pt>
              </c:numCache>
            </c:numRef>
          </c:val>
          <c:extLst>
            <c:ext xmlns:c16="http://schemas.microsoft.com/office/drawing/2014/chart" uri="{C3380CC4-5D6E-409C-BE32-E72D297353CC}">
              <c16:uniqueId val="{00000004-29DF-4205-A997-D9C793D529EE}"/>
            </c:ext>
          </c:extLst>
        </c:ser>
        <c:ser>
          <c:idx val="5"/>
          <c:order val="6"/>
          <c:tx>
            <c:strRef>
              <c:f>'Vannbehandling - Resultater'!$A$65</c:f>
              <c:strCache>
                <c:ptCount val="1"/>
                <c:pt idx="0">
                  <c:v>Flytende oksygen til ozonproduksjon</c:v>
                </c:pt>
              </c:strCache>
            </c:strRef>
          </c:tx>
          <c:spPr>
            <a:solidFill>
              <a:schemeClr val="accent6"/>
            </a:solidFill>
            <a:ln>
              <a:noFill/>
            </a:ln>
            <a:effectLst/>
          </c:spPr>
          <c:invertIfNegative val="0"/>
          <c:cat>
            <c:strRef>
              <c:f>'Vannbehandling - Resultater'!$B$58</c:f>
              <c:strCache>
                <c:ptCount val="1"/>
                <c:pt idx="0">
                  <c:v>kg CO₂ ekv./år</c:v>
                </c:pt>
              </c:strCache>
            </c:strRef>
          </c:cat>
          <c:val>
            <c:numRef>
              <c:f>'Vannbehandling - Resultater'!$B$65</c:f>
              <c:numCache>
                <c:formatCode>#,##0</c:formatCode>
                <c:ptCount val="1"/>
                <c:pt idx="0">
                  <c:v>0</c:v>
                </c:pt>
              </c:numCache>
            </c:numRef>
          </c:val>
          <c:extLst>
            <c:ext xmlns:c16="http://schemas.microsoft.com/office/drawing/2014/chart" uri="{C3380CC4-5D6E-409C-BE32-E72D297353CC}">
              <c16:uniqueId val="{00000005-29DF-4205-A997-D9C793D529EE}"/>
            </c:ext>
          </c:extLst>
        </c:ser>
        <c:ser>
          <c:idx val="6"/>
          <c:order val="7"/>
          <c:tx>
            <c:strRef>
              <c:f>'Vannbehandling - Resultater'!$A$66</c:f>
              <c:strCache>
                <c:ptCount val="1"/>
                <c:pt idx="0">
                  <c:v>Fosforsyre</c:v>
                </c:pt>
              </c:strCache>
            </c:strRef>
          </c:tx>
          <c:spPr>
            <a:solidFill>
              <a:schemeClr val="accent1">
                <a:lumMod val="60000"/>
              </a:schemeClr>
            </a:solidFill>
            <a:ln>
              <a:noFill/>
            </a:ln>
            <a:effectLst/>
          </c:spPr>
          <c:invertIfNegative val="0"/>
          <c:cat>
            <c:strRef>
              <c:f>'Vannbehandling - Resultater'!$B$58</c:f>
              <c:strCache>
                <c:ptCount val="1"/>
                <c:pt idx="0">
                  <c:v>kg CO₂ ekv./år</c:v>
                </c:pt>
              </c:strCache>
            </c:strRef>
          </c:cat>
          <c:val>
            <c:numRef>
              <c:f>'Vannbehandling - Resultater'!$B$66</c:f>
              <c:numCache>
                <c:formatCode>#,##0</c:formatCode>
                <c:ptCount val="1"/>
                <c:pt idx="0">
                  <c:v>0</c:v>
                </c:pt>
              </c:numCache>
            </c:numRef>
          </c:val>
          <c:extLst>
            <c:ext xmlns:c16="http://schemas.microsoft.com/office/drawing/2014/chart" uri="{C3380CC4-5D6E-409C-BE32-E72D297353CC}">
              <c16:uniqueId val="{00000006-29DF-4205-A997-D9C793D529EE}"/>
            </c:ext>
          </c:extLst>
        </c:ser>
        <c:ser>
          <c:idx val="7"/>
          <c:order val="8"/>
          <c:tx>
            <c:strRef>
              <c:f>'Vannbehandling - Resultater'!$A$67</c:f>
              <c:strCache>
                <c:ptCount val="1"/>
                <c:pt idx="0">
                  <c:v>Hydrogenperoksid (H2O2) </c:v>
                </c:pt>
              </c:strCache>
            </c:strRef>
          </c:tx>
          <c:spPr>
            <a:solidFill>
              <a:schemeClr val="accent2">
                <a:lumMod val="60000"/>
              </a:schemeClr>
            </a:solidFill>
            <a:ln>
              <a:noFill/>
            </a:ln>
            <a:effectLst/>
          </c:spPr>
          <c:invertIfNegative val="0"/>
          <c:cat>
            <c:strRef>
              <c:f>'Vannbehandling - Resultater'!$B$58</c:f>
              <c:strCache>
                <c:ptCount val="1"/>
                <c:pt idx="0">
                  <c:v>kg CO₂ ekv./år</c:v>
                </c:pt>
              </c:strCache>
            </c:strRef>
          </c:cat>
          <c:val>
            <c:numRef>
              <c:f>'Vannbehandling - Resultater'!$B$67</c:f>
              <c:numCache>
                <c:formatCode>#,##0</c:formatCode>
                <c:ptCount val="1"/>
                <c:pt idx="0">
                  <c:v>0</c:v>
                </c:pt>
              </c:numCache>
            </c:numRef>
          </c:val>
          <c:extLst>
            <c:ext xmlns:c16="http://schemas.microsoft.com/office/drawing/2014/chart" uri="{C3380CC4-5D6E-409C-BE32-E72D297353CC}">
              <c16:uniqueId val="{00000007-29DF-4205-A997-D9C793D529EE}"/>
            </c:ext>
          </c:extLst>
        </c:ser>
        <c:ser>
          <c:idx val="8"/>
          <c:order val="9"/>
          <c:tx>
            <c:strRef>
              <c:f>'Vannbehandling - Resultater'!$A$68</c:f>
              <c:strCache>
                <c:ptCount val="1"/>
                <c:pt idx="0">
                  <c:v>Ionebyttesalt</c:v>
                </c:pt>
              </c:strCache>
            </c:strRef>
          </c:tx>
          <c:spPr>
            <a:solidFill>
              <a:schemeClr val="accent3">
                <a:lumMod val="60000"/>
              </a:schemeClr>
            </a:solidFill>
            <a:ln>
              <a:noFill/>
            </a:ln>
            <a:effectLst/>
          </c:spPr>
          <c:invertIfNegative val="0"/>
          <c:cat>
            <c:strRef>
              <c:f>'Vannbehandling - Resultater'!$B$58</c:f>
              <c:strCache>
                <c:ptCount val="1"/>
                <c:pt idx="0">
                  <c:v>kg CO₂ ekv./år</c:v>
                </c:pt>
              </c:strCache>
            </c:strRef>
          </c:cat>
          <c:val>
            <c:numRef>
              <c:f>'Vannbehandling - Resultater'!$B$68</c:f>
              <c:numCache>
                <c:formatCode>#,##0</c:formatCode>
                <c:ptCount val="1"/>
                <c:pt idx="0">
                  <c:v>0</c:v>
                </c:pt>
              </c:numCache>
            </c:numRef>
          </c:val>
          <c:extLst>
            <c:ext xmlns:c16="http://schemas.microsoft.com/office/drawing/2014/chart" uri="{C3380CC4-5D6E-409C-BE32-E72D297353CC}">
              <c16:uniqueId val="{00000008-29DF-4205-A997-D9C793D529EE}"/>
            </c:ext>
          </c:extLst>
        </c:ser>
        <c:ser>
          <c:idx val="9"/>
          <c:order val="10"/>
          <c:tx>
            <c:strRef>
              <c:f>'Vannbehandling - Resultater'!$A$69</c:f>
              <c:strCache>
                <c:ptCount val="1"/>
                <c:pt idx="0">
                  <c:v>Klor, flytende</c:v>
                </c:pt>
              </c:strCache>
            </c:strRef>
          </c:tx>
          <c:spPr>
            <a:solidFill>
              <a:schemeClr val="accent4">
                <a:lumMod val="60000"/>
              </a:schemeClr>
            </a:solidFill>
            <a:ln>
              <a:noFill/>
            </a:ln>
            <a:effectLst/>
          </c:spPr>
          <c:invertIfNegative val="0"/>
          <c:cat>
            <c:strRef>
              <c:f>'Vannbehandling - Resultater'!$B$58</c:f>
              <c:strCache>
                <c:ptCount val="1"/>
                <c:pt idx="0">
                  <c:v>kg CO₂ ekv./år</c:v>
                </c:pt>
              </c:strCache>
            </c:strRef>
          </c:cat>
          <c:val>
            <c:numRef>
              <c:f>'Vannbehandling - Resultater'!$B$69</c:f>
              <c:numCache>
                <c:formatCode>#,##0</c:formatCode>
                <c:ptCount val="1"/>
                <c:pt idx="0">
                  <c:v>0</c:v>
                </c:pt>
              </c:numCache>
            </c:numRef>
          </c:val>
          <c:extLst>
            <c:ext xmlns:c16="http://schemas.microsoft.com/office/drawing/2014/chart" uri="{C3380CC4-5D6E-409C-BE32-E72D297353CC}">
              <c16:uniqueId val="{00000009-29DF-4205-A997-D9C793D529EE}"/>
            </c:ext>
          </c:extLst>
        </c:ser>
        <c:ser>
          <c:idx val="10"/>
          <c:order val="11"/>
          <c:tx>
            <c:strRef>
              <c:f>'Vannbehandling - Resultater'!$A$70</c:f>
              <c:strCache>
                <c:ptCount val="1"/>
                <c:pt idx="0">
                  <c:v>Klorgass</c:v>
                </c:pt>
              </c:strCache>
            </c:strRef>
          </c:tx>
          <c:spPr>
            <a:solidFill>
              <a:schemeClr val="accent5">
                <a:lumMod val="60000"/>
              </a:schemeClr>
            </a:solidFill>
            <a:ln>
              <a:noFill/>
            </a:ln>
            <a:effectLst/>
          </c:spPr>
          <c:invertIfNegative val="0"/>
          <c:cat>
            <c:strRef>
              <c:f>'Vannbehandling - Resultater'!$B$58</c:f>
              <c:strCache>
                <c:ptCount val="1"/>
                <c:pt idx="0">
                  <c:v>kg CO₂ ekv./år</c:v>
                </c:pt>
              </c:strCache>
            </c:strRef>
          </c:cat>
          <c:val>
            <c:numRef>
              <c:f>'Vannbehandling - Resultater'!$B$70</c:f>
              <c:numCache>
                <c:formatCode>#,##0</c:formatCode>
                <c:ptCount val="1"/>
                <c:pt idx="0">
                  <c:v>0</c:v>
                </c:pt>
              </c:numCache>
            </c:numRef>
          </c:val>
          <c:extLst>
            <c:ext xmlns:c16="http://schemas.microsoft.com/office/drawing/2014/chart" uri="{C3380CC4-5D6E-409C-BE32-E72D297353CC}">
              <c16:uniqueId val="{0000000A-29DF-4205-A997-D9C793D529EE}"/>
            </c:ext>
          </c:extLst>
        </c:ser>
        <c:ser>
          <c:idx val="11"/>
          <c:order val="12"/>
          <c:tx>
            <c:strRef>
              <c:f>'Vannbehandling - Resultater'!$A$71</c:f>
              <c:strCache>
                <c:ptCount val="1"/>
                <c:pt idx="0">
                  <c:v>Litiumklorid</c:v>
                </c:pt>
              </c:strCache>
            </c:strRef>
          </c:tx>
          <c:spPr>
            <a:solidFill>
              <a:schemeClr val="accent6">
                <a:lumMod val="60000"/>
              </a:schemeClr>
            </a:solidFill>
            <a:ln>
              <a:noFill/>
            </a:ln>
            <a:effectLst/>
          </c:spPr>
          <c:invertIfNegative val="0"/>
          <c:cat>
            <c:strRef>
              <c:f>'Vannbehandling - Resultater'!$B$58</c:f>
              <c:strCache>
                <c:ptCount val="1"/>
                <c:pt idx="0">
                  <c:v>kg CO₂ ekv./år</c:v>
                </c:pt>
              </c:strCache>
            </c:strRef>
          </c:cat>
          <c:val>
            <c:numRef>
              <c:f>'Vannbehandling - Resultater'!$B$71</c:f>
              <c:numCache>
                <c:formatCode>#,##0</c:formatCode>
                <c:ptCount val="1"/>
                <c:pt idx="0">
                  <c:v>0</c:v>
                </c:pt>
              </c:numCache>
            </c:numRef>
          </c:val>
          <c:extLst>
            <c:ext xmlns:c16="http://schemas.microsoft.com/office/drawing/2014/chart" uri="{C3380CC4-5D6E-409C-BE32-E72D297353CC}">
              <c16:uniqueId val="{0000000B-29DF-4205-A997-D9C793D529EE}"/>
            </c:ext>
          </c:extLst>
        </c:ser>
        <c:ser>
          <c:idx val="12"/>
          <c:order val="13"/>
          <c:tx>
            <c:strRef>
              <c:f>'Vannbehandling - Resultater'!$A$72</c:f>
              <c:strCache>
                <c:ptCount val="1"/>
                <c:pt idx="0">
                  <c:v>Magnesiumklorid</c:v>
                </c:pt>
              </c:strCache>
            </c:strRef>
          </c:tx>
          <c:spPr>
            <a:solidFill>
              <a:schemeClr val="accent1">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Resultater'!$B$72</c:f>
              <c:numCache>
                <c:formatCode>#,##0</c:formatCode>
                <c:ptCount val="1"/>
                <c:pt idx="0">
                  <c:v>0</c:v>
                </c:pt>
              </c:numCache>
            </c:numRef>
          </c:val>
          <c:extLst>
            <c:ext xmlns:c16="http://schemas.microsoft.com/office/drawing/2014/chart" uri="{C3380CC4-5D6E-409C-BE32-E72D297353CC}">
              <c16:uniqueId val="{0000000C-29DF-4205-A997-D9C793D529EE}"/>
            </c:ext>
          </c:extLst>
        </c:ser>
        <c:ser>
          <c:idx val="13"/>
          <c:order val="14"/>
          <c:tx>
            <c:strRef>
              <c:f>'Vannbehandling - Resultater'!$A$73</c:f>
              <c:strCache>
                <c:ptCount val="1"/>
                <c:pt idx="0">
                  <c:v>Natriumhypokloritt (NaClO)</c:v>
                </c:pt>
              </c:strCache>
            </c:strRef>
          </c:tx>
          <c:spPr>
            <a:solidFill>
              <a:schemeClr val="accent2">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Resultater'!$B$73</c:f>
              <c:numCache>
                <c:formatCode>#,##0</c:formatCode>
                <c:ptCount val="1"/>
                <c:pt idx="0">
                  <c:v>0</c:v>
                </c:pt>
              </c:numCache>
            </c:numRef>
          </c:val>
          <c:extLst>
            <c:ext xmlns:c16="http://schemas.microsoft.com/office/drawing/2014/chart" uri="{C3380CC4-5D6E-409C-BE32-E72D297353CC}">
              <c16:uniqueId val="{0000000D-29DF-4205-A997-D9C793D529EE}"/>
            </c:ext>
          </c:extLst>
        </c:ser>
        <c:ser>
          <c:idx val="14"/>
          <c:order val="15"/>
          <c:tx>
            <c:strRef>
              <c:f>'Vannbehandling - Resultater'!$A$74</c:f>
              <c:strCache>
                <c:ptCount val="1"/>
                <c:pt idx="0">
                  <c:v>Natriumthiosulfat</c:v>
                </c:pt>
              </c:strCache>
            </c:strRef>
          </c:tx>
          <c:spPr>
            <a:solidFill>
              <a:schemeClr val="accent3">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Resultater'!$B$74</c:f>
              <c:numCache>
                <c:formatCode>#,##0</c:formatCode>
                <c:ptCount val="1"/>
                <c:pt idx="0">
                  <c:v>0</c:v>
                </c:pt>
              </c:numCache>
            </c:numRef>
          </c:val>
          <c:extLst>
            <c:ext xmlns:c16="http://schemas.microsoft.com/office/drawing/2014/chart" uri="{C3380CC4-5D6E-409C-BE32-E72D297353CC}">
              <c16:uniqueId val="{00000000-C8E4-481B-977D-89C3F4C02577}"/>
            </c:ext>
          </c:extLst>
        </c:ser>
        <c:ser>
          <c:idx val="15"/>
          <c:order val="16"/>
          <c:tx>
            <c:strRef>
              <c:f>'Vannbehandling - Resultater'!$A$75</c:f>
              <c:strCache>
                <c:ptCount val="1"/>
                <c:pt idx="0">
                  <c:v>Oktanol </c:v>
                </c:pt>
              </c:strCache>
            </c:strRef>
          </c:tx>
          <c:spPr>
            <a:solidFill>
              <a:schemeClr val="accent4">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Resultater'!$B$75</c:f>
              <c:numCache>
                <c:formatCode>#,##0</c:formatCode>
                <c:ptCount val="1"/>
                <c:pt idx="0">
                  <c:v>0</c:v>
                </c:pt>
              </c:numCache>
            </c:numRef>
          </c:val>
          <c:extLst>
            <c:ext xmlns:c16="http://schemas.microsoft.com/office/drawing/2014/chart" uri="{C3380CC4-5D6E-409C-BE32-E72D297353CC}">
              <c16:uniqueId val="{00000000-548A-48A0-833C-37321C8308E3}"/>
            </c:ext>
          </c:extLst>
        </c:ser>
        <c:ser>
          <c:idx val="16"/>
          <c:order val="17"/>
          <c:tx>
            <c:strRef>
              <c:f>'Vannbehandling - Resultater'!$A$76</c:f>
              <c:strCache>
                <c:ptCount val="1"/>
                <c:pt idx="0">
                  <c:v>Propan</c:v>
                </c:pt>
              </c:strCache>
            </c:strRef>
          </c:tx>
          <c:spPr>
            <a:solidFill>
              <a:schemeClr val="accent5">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Resultater'!$B$76</c:f>
              <c:numCache>
                <c:formatCode>#,##0</c:formatCode>
                <c:ptCount val="1"/>
                <c:pt idx="0">
                  <c:v>0</c:v>
                </c:pt>
              </c:numCache>
            </c:numRef>
          </c:val>
          <c:extLst>
            <c:ext xmlns:c16="http://schemas.microsoft.com/office/drawing/2014/chart" uri="{C3380CC4-5D6E-409C-BE32-E72D297353CC}">
              <c16:uniqueId val="{00000001-548A-48A0-833C-37321C8308E3}"/>
            </c:ext>
          </c:extLst>
        </c:ser>
        <c:ser>
          <c:idx val="17"/>
          <c:order val="18"/>
          <c:tx>
            <c:strRef>
              <c:f>'Vannbehandling - Resultater'!$A$77</c:f>
              <c:strCache>
                <c:ptCount val="1"/>
                <c:pt idx="0">
                  <c:v>Salpetersyre (HNO3)</c:v>
                </c:pt>
              </c:strCache>
            </c:strRef>
          </c:tx>
          <c:spPr>
            <a:solidFill>
              <a:schemeClr val="accent6">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Resultater'!$B$77</c:f>
              <c:numCache>
                <c:formatCode>#,##0</c:formatCode>
                <c:ptCount val="1"/>
                <c:pt idx="0">
                  <c:v>0</c:v>
                </c:pt>
              </c:numCache>
            </c:numRef>
          </c:val>
          <c:extLst>
            <c:ext xmlns:c16="http://schemas.microsoft.com/office/drawing/2014/chart" uri="{C3380CC4-5D6E-409C-BE32-E72D297353CC}">
              <c16:uniqueId val="{00000000-3CFC-4685-B848-4D374882F470}"/>
            </c:ext>
          </c:extLst>
        </c:ser>
        <c:ser>
          <c:idx val="19"/>
          <c:order val="19"/>
          <c:tx>
            <c:strRef>
              <c:f>'Vannbehandling - Resultater'!$A$78</c:f>
              <c:strCache>
                <c:ptCount val="1"/>
                <c:pt idx="0">
                  <c:v>Saltsyre (HCl)</c:v>
                </c:pt>
              </c:strCache>
            </c:strRef>
          </c:tx>
          <c:spPr>
            <a:solidFill>
              <a:schemeClr val="accent2">
                <a:lumMod val="80000"/>
              </a:schemeClr>
            </a:solidFill>
            <a:ln>
              <a:noFill/>
            </a:ln>
            <a:effectLst/>
          </c:spPr>
          <c:invertIfNegative val="0"/>
          <c:cat>
            <c:strRef>
              <c:f>'Vannbehandling - Resultater'!$B$58</c:f>
              <c:strCache>
                <c:ptCount val="1"/>
                <c:pt idx="0">
                  <c:v>kg CO₂ ekv./år</c:v>
                </c:pt>
              </c:strCache>
            </c:strRef>
          </c:cat>
          <c:val>
            <c:numRef>
              <c:f>'Vannbehandling - Resultater'!$B$78</c:f>
              <c:numCache>
                <c:formatCode>#,##0</c:formatCode>
                <c:ptCount val="1"/>
                <c:pt idx="0">
                  <c:v>0</c:v>
                </c:pt>
              </c:numCache>
            </c:numRef>
          </c:val>
          <c:extLst>
            <c:ext xmlns:c16="http://schemas.microsoft.com/office/drawing/2014/chart" uri="{C3380CC4-5D6E-409C-BE32-E72D297353CC}">
              <c16:uniqueId val="{00000001-D800-4AFE-93B8-729B676CB8A8}"/>
            </c:ext>
          </c:extLst>
        </c:ser>
        <c:ser>
          <c:idx val="20"/>
          <c:order val="20"/>
          <c:tx>
            <c:strRef>
              <c:f>'Vannbehandling - Resultater'!$A$79</c:f>
              <c:strCache>
                <c:ptCount val="1"/>
                <c:pt idx="0">
                  <c:v>Svovelsyre (H2SO4)</c:v>
                </c:pt>
              </c:strCache>
            </c:strRef>
          </c:tx>
          <c:spPr>
            <a:solidFill>
              <a:schemeClr val="accent3">
                <a:lumMod val="80000"/>
              </a:schemeClr>
            </a:solidFill>
            <a:ln>
              <a:noFill/>
            </a:ln>
            <a:effectLst/>
          </c:spPr>
          <c:invertIfNegative val="0"/>
          <c:cat>
            <c:strRef>
              <c:f>'Vannbehandling - Resultater'!$B$58</c:f>
              <c:strCache>
                <c:ptCount val="1"/>
                <c:pt idx="0">
                  <c:v>kg CO₂ ekv./år</c:v>
                </c:pt>
              </c:strCache>
            </c:strRef>
          </c:cat>
          <c:val>
            <c:numRef>
              <c:f>'Vannbehandling - Resultater'!$B$79</c:f>
              <c:numCache>
                <c:formatCode>#,##0</c:formatCode>
                <c:ptCount val="1"/>
                <c:pt idx="0">
                  <c:v>0</c:v>
                </c:pt>
              </c:numCache>
            </c:numRef>
          </c:val>
          <c:extLst>
            <c:ext xmlns:c16="http://schemas.microsoft.com/office/drawing/2014/chart" uri="{C3380CC4-5D6E-409C-BE32-E72D297353CC}">
              <c16:uniqueId val="{00000002-D800-4AFE-93B8-729B676CB8A8}"/>
            </c:ext>
          </c:extLst>
        </c:ser>
        <c:ser>
          <c:idx val="21"/>
          <c:order val="21"/>
          <c:tx>
            <c:strRef>
              <c:f>'Vannbehandling - Resultater'!$A$80</c:f>
              <c:strCache>
                <c:ptCount val="1"/>
                <c:pt idx="0">
                  <c:v>Vannglass (Natriumsilikat)</c:v>
                </c:pt>
              </c:strCache>
            </c:strRef>
          </c:tx>
          <c:spPr>
            <a:solidFill>
              <a:schemeClr val="accent4">
                <a:lumMod val="80000"/>
              </a:schemeClr>
            </a:solidFill>
            <a:ln>
              <a:noFill/>
            </a:ln>
            <a:effectLst/>
          </c:spPr>
          <c:invertIfNegative val="0"/>
          <c:cat>
            <c:strRef>
              <c:f>'Vannbehandling - Resultater'!$B$58</c:f>
              <c:strCache>
                <c:ptCount val="1"/>
                <c:pt idx="0">
                  <c:v>kg CO₂ ekv./år</c:v>
                </c:pt>
              </c:strCache>
            </c:strRef>
          </c:cat>
          <c:val>
            <c:numRef>
              <c:f>'Vannbehandling - Resultater'!$B$80</c:f>
              <c:numCache>
                <c:formatCode>#,##0</c:formatCode>
                <c:ptCount val="1"/>
                <c:pt idx="0">
                  <c:v>0</c:v>
                </c:pt>
              </c:numCache>
            </c:numRef>
          </c:val>
          <c:extLst>
            <c:ext xmlns:c16="http://schemas.microsoft.com/office/drawing/2014/chart" uri="{C3380CC4-5D6E-409C-BE32-E72D297353CC}">
              <c16:uniqueId val="{00000001-911A-40C7-9DB4-920CE7A081EE}"/>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layout>
        <c:manualLayout>
          <c:xMode val="edge"/>
          <c:yMode val="edge"/>
          <c:x val="2.508413743910827E-2"/>
          <c:y val="0.43228785081110138"/>
          <c:w val="0.74793632359183204"/>
          <c:h val="0.5433638916908268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Resultater'!$A$52</c:f>
              <c:strCache>
                <c:ptCount val="1"/>
                <c:pt idx="0">
                  <c:v>Brent kalk (CaO)</c:v>
                </c:pt>
              </c:strCache>
            </c:strRef>
          </c:tx>
          <c:spPr>
            <a:solidFill>
              <a:schemeClr val="accent1"/>
            </a:solidFill>
            <a:ln>
              <a:noFill/>
            </a:ln>
            <a:effectLst/>
          </c:spPr>
          <c:invertIfNegative val="0"/>
          <c:cat>
            <c:strRef>
              <c:f>'Vannbehandling - Resultater'!$B$51</c:f>
              <c:strCache>
                <c:ptCount val="1"/>
                <c:pt idx="0">
                  <c:v>kg CO₂ ekv./år</c:v>
                </c:pt>
              </c:strCache>
            </c:strRef>
          </c:cat>
          <c:val>
            <c:numRef>
              <c:f>'Vannbehandling - Resultater'!$B$52</c:f>
              <c:numCache>
                <c:formatCode>#,##0</c:formatCode>
                <c:ptCount val="1"/>
                <c:pt idx="0">
                  <c:v>0</c:v>
                </c:pt>
              </c:numCache>
            </c:numRef>
          </c:val>
          <c:extLst>
            <c:ext xmlns:c16="http://schemas.microsoft.com/office/drawing/2014/chart" uri="{C3380CC4-5D6E-409C-BE32-E72D297353CC}">
              <c16:uniqueId val="{00000000-FEA4-4A70-91C0-4D2651736AF2}"/>
            </c:ext>
          </c:extLst>
        </c:ser>
        <c:ser>
          <c:idx val="1"/>
          <c:order val="1"/>
          <c:tx>
            <c:strRef>
              <c:f>'Vannbehandling - Resultater'!$A$53</c:f>
              <c:strCache>
                <c:ptCount val="1"/>
                <c:pt idx="0">
                  <c:v>Lesket kalk, Ca(OH)2</c:v>
                </c:pt>
              </c:strCache>
            </c:strRef>
          </c:tx>
          <c:spPr>
            <a:solidFill>
              <a:schemeClr val="accent2"/>
            </a:solidFill>
            <a:ln>
              <a:noFill/>
            </a:ln>
            <a:effectLst/>
          </c:spPr>
          <c:invertIfNegative val="0"/>
          <c:cat>
            <c:strRef>
              <c:f>'Vannbehandling - Resultater'!$B$51</c:f>
              <c:strCache>
                <c:ptCount val="1"/>
                <c:pt idx="0">
                  <c:v>kg CO₂ ekv./år</c:v>
                </c:pt>
              </c:strCache>
            </c:strRef>
          </c:cat>
          <c:val>
            <c:numRef>
              <c:f>'Vannbehandling - Resultater'!$B$53</c:f>
              <c:numCache>
                <c:formatCode>#,##0</c:formatCode>
                <c:ptCount val="1"/>
                <c:pt idx="0">
                  <c:v>0</c:v>
                </c:pt>
              </c:numCache>
            </c:numRef>
          </c:val>
          <c:extLst>
            <c:ext xmlns:c16="http://schemas.microsoft.com/office/drawing/2014/chart" uri="{C3380CC4-5D6E-409C-BE32-E72D297353CC}">
              <c16:uniqueId val="{00000001-FEA4-4A70-91C0-4D2651736AF2}"/>
            </c:ext>
          </c:extLst>
        </c:ser>
        <c:ser>
          <c:idx val="2"/>
          <c:order val="2"/>
          <c:tx>
            <c:strRef>
              <c:f>'Vannbehandling - Resultater'!$A$54</c:f>
              <c:strCache>
                <c:ptCount val="1"/>
                <c:pt idx="0">
                  <c:v>Kalsiumkarbonat, CaCO3</c:v>
                </c:pt>
              </c:strCache>
            </c:strRef>
          </c:tx>
          <c:spPr>
            <a:solidFill>
              <a:schemeClr val="accent3"/>
            </a:solidFill>
            <a:ln>
              <a:noFill/>
            </a:ln>
            <a:effectLst/>
          </c:spPr>
          <c:invertIfNegative val="0"/>
          <c:cat>
            <c:strRef>
              <c:f>'Vannbehandling - Resultater'!$B$51</c:f>
              <c:strCache>
                <c:ptCount val="1"/>
                <c:pt idx="0">
                  <c:v>kg CO₂ ekv./år</c:v>
                </c:pt>
              </c:strCache>
            </c:strRef>
          </c:cat>
          <c:val>
            <c:numRef>
              <c:f>'Vannbehandling - Resultater'!$B$54</c:f>
              <c:numCache>
                <c:formatCode>#,##0</c:formatCode>
                <c:ptCount val="1"/>
                <c:pt idx="0">
                  <c:v>0</c:v>
                </c:pt>
              </c:numCache>
            </c:numRef>
          </c:val>
          <c:extLst>
            <c:ext xmlns:c16="http://schemas.microsoft.com/office/drawing/2014/chart" uri="{C3380CC4-5D6E-409C-BE32-E72D297353CC}">
              <c16:uniqueId val="{00000002-FEA4-4A70-91C0-4D2651736AF2}"/>
            </c:ext>
          </c:extLst>
        </c:ser>
        <c:ser>
          <c:idx val="3"/>
          <c:order val="3"/>
          <c:tx>
            <c:strRef>
              <c:f>'Vannbehandling - Resultater'!$A$55</c:f>
              <c:strCache>
                <c:ptCount val="1"/>
                <c:pt idx="0">
                  <c:v>Natriumhydroksid, NaOH 50%</c:v>
                </c:pt>
              </c:strCache>
            </c:strRef>
          </c:tx>
          <c:spPr>
            <a:solidFill>
              <a:schemeClr val="accent4"/>
            </a:solidFill>
            <a:ln>
              <a:noFill/>
            </a:ln>
            <a:effectLst/>
          </c:spPr>
          <c:invertIfNegative val="0"/>
          <c:cat>
            <c:strRef>
              <c:f>'Vannbehandling - Resultater'!$B$51</c:f>
              <c:strCache>
                <c:ptCount val="1"/>
                <c:pt idx="0">
                  <c:v>kg CO₂ ekv./år</c:v>
                </c:pt>
              </c:strCache>
            </c:strRef>
          </c:cat>
          <c:val>
            <c:numRef>
              <c:f>'Vannbehandling - Resultater'!$B$55</c:f>
              <c:numCache>
                <c:formatCode>#,##0</c:formatCode>
                <c:ptCount val="1"/>
                <c:pt idx="0">
                  <c:v>0</c:v>
                </c:pt>
              </c:numCache>
            </c:numRef>
          </c:val>
          <c:extLst>
            <c:ext xmlns:c16="http://schemas.microsoft.com/office/drawing/2014/chart" uri="{C3380CC4-5D6E-409C-BE32-E72D297353CC}">
              <c16:uniqueId val="{00000003-FEA4-4A70-91C0-4D2651736AF2}"/>
            </c:ext>
          </c:extLst>
        </c:ser>
        <c:dLbls>
          <c:showLegendKey val="0"/>
          <c:showVal val="0"/>
          <c:showCatName val="0"/>
          <c:showSerName val="0"/>
          <c:showPercent val="0"/>
          <c:showBubbleSize val="0"/>
        </c:dLbls>
        <c:gapWidth val="150"/>
        <c:overlap val="100"/>
        <c:axId val="753773056"/>
        <c:axId val="753773384"/>
      </c:barChart>
      <c:catAx>
        <c:axId val="75377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384"/>
        <c:crosses val="autoZero"/>
        <c:auto val="1"/>
        <c:lblAlgn val="ctr"/>
        <c:lblOffset val="100"/>
        <c:noMultiLvlLbl val="0"/>
      </c:catAx>
      <c:valAx>
        <c:axId val="753773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056"/>
        <c:crosses val="autoZero"/>
        <c:crossBetween val="between"/>
      </c:valAx>
      <c:spPr>
        <a:solidFill>
          <a:schemeClr val="bg2"/>
        </a:solidFill>
        <a:ln>
          <a:noFill/>
        </a:ln>
        <a:effectLst/>
      </c:spPr>
    </c:plotArea>
    <c:legend>
      <c:legendPos val="b"/>
      <c:layout>
        <c:manualLayout>
          <c:xMode val="edge"/>
          <c:yMode val="edge"/>
          <c:x val="4.3085733164473325E-2"/>
          <c:y val="0.58270472098467763"/>
          <c:w val="0.91979162264824244"/>
          <c:h val="0.304124828433143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63081954327902"/>
          <c:y val="0.19097222222222221"/>
          <c:w val="0.73578700389724017"/>
          <c:h val="0.27316683070866143"/>
        </c:manualLayout>
      </c:layout>
      <c:barChart>
        <c:barDir val="bar"/>
        <c:grouping val="percentStacked"/>
        <c:varyColors val="0"/>
        <c:ser>
          <c:idx val="0"/>
          <c:order val="0"/>
          <c:tx>
            <c:strRef>
              <c:f>'Vannbehandling - Resultater'!$A$94</c:f>
              <c:strCache>
                <c:ptCount val="1"/>
                <c:pt idx="0">
                  <c:v>Transport</c:v>
                </c:pt>
              </c:strCache>
            </c:strRef>
          </c:tx>
          <c:spPr>
            <a:solidFill>
              <a:schemeClr val="accent1"/>
            </a:solidFill>
            <a:ln>
              <a:noFill/>
            </a:ln>
            <a:effectLst/>
          </c:spPr>
          <c:invertIfNegative val="0"/>
          <c:cat>
            <c:strRef>
              <c:f>'Vannbehandling - Resultater'!$B$94</c:f>
              <c:strCache>
                <c:ptCount val="1"/>
                <c:pt idx="0">
                  <c:v>kg CO₂ ekv./år</c:v>
                </c:pt>
              </c:strCache>
            </c:strRef>
          </c:cat>
          <c:val>
            <c:numRef>
              <c:f>'Vannbehandling - Resultater'!$B$94</c:f>
              <c:numCache>
                <c:formatCode>General</c:formatCode>
                <c:ptCount val="1"/>
                <c:pt idx="0">
                  <c:v>0</c:v>
                </c:pt>
              </c:numCache>
            </c:numRef>
          </c:val>
          <c:extLst>
            <c:ext xmlns:c16="http://schemas.microsoft.com/office/drawing/2014/chart" uri="{C3380CC4-5D6E-409C-BE32-E72D297353CC}">
              <c16:uniqueId val="{00000000-1F38-41D6-87E7-885573BBC6D7}"/>
            </c:ext>
          </c:extLst>
        </c:ser>
        <c:ser>
          <c:idx val="1"/>
          <c:order val="1"/>
          <c:tx>
            <c:strRef>
              <c:f>'Vannbehandling - Resultater'!$A$95</c:f>
              <c:strCache>
                <c:ptCount val="1"/>
                <c:pt idx="0">
                  <c:v>Filtermasser</c:v>
                </c:pt>
              </c:strCache>
            </c:strRef>
          </c:tx>
          <c:spPr>
            <a:solidFill>
              <a:schemeClr val="accent2"/>
            </a:solidFill>
            <a:ln>
              <a:noFill/>
            </a:ln>
            <a:effectLst/>
          </c:spPr>
          <c:invertIfNegative val="0"/>
          <c:cat>
            <c:strRef>
              <c:f>'Vannbehandling - Resultater'!$B$94</c:f>
              <c:strCache>
                <c:ptCount val="1"/>
                <c:pt idx="0">
                  <c:v>kg CO₂ ekv./år</c:v>
                </c:pt>
              </c:strCache>
            </c:strRef>
          </c:cat>
          <c:val>
            <c:numRef>
              <c:f>'Vannbehandling - Resultater'!$B$95</c:f>
              <c:numCache>
                <c:formatCode>#,##0</c:formatCode>
                <c:ptCount val="1"/>
                <c:pt idx="0">
                  <c:v>0</c:v>
                </c:pt>
              </c:numCache>
            </c:numRef>
          </c:val>
          <c:extLst>
            <c:ext xmlns:c16="http://schemas.microsoft.com/office/drawing/2014/chart" uri="{C3380CC4-5D6E-409C-BE32-E72D297353CC}">
              <c16:uniqueId val="{00000001-1F38-41D6-87E7-885573BBC6D7}"/>
            </c:ext>
          </c:extLst>
        </c:ser>
        <c:ser>
          <c:idx val="2"/>
          <c:order val="2"/>
          <c:tx>
            <c:strRef>
              <c:f>'Vannbehandling - Resultater'!$A$96</c:f>
              <c:strCache>
                <c:ptCount val="1"/>
                <c:pt idx="0">
                  <c:v>Kjemikalier - felling</c:v>
                </c:pt>
              </c:strCache>
            </c:strRef>
          </c:tx>
          <c:spPr>
            <a:solidFill>
              <a:schemeClr val="accent3"/>
            </a:solidFill>
            <a:ln>
              <a:noFill/>
            </a:ln>
            <a:effectLst/>
          </c:spPr>
          <c:invertIfNegative val="0"/>
          <c:cat>
            <c:strRef>
              <c:f>'Vannbehandling - Resultater'!$B$94</c:f>
              <c:strCache>
                <c:ptCount val="1"/>
                <c:pt idx="0">
                  <c:v>kg CO₂ ekv./år</c:v>
                </c:pt>
              </c:strCache>
            </c:strRef>
          </c:cat>
          <c:val>
            <c:numRef>
              <c:f>'Vannbehandling - Resultater'!$B$96</c:f>
              <c:numCache>
                <c:formatCode>#,##0</c:formatCode>
                <c:ptCount val="1"/>
                <c:pt idx="0">
                  <c:v>0</c:v>
                </c:pt>
              </c:numCache>
            </c:numRef>
          </c:val>
          <c:extLst>
            <c:ext xmlns:c16="http://schemas.microsoft.com/office/drawing/2014/chart" uri="{C3380CC4-5D6E-409C-BE32-E72D297353CC}">
              <c16:uniqueId val="{00000002-1F38-41D6-87E7-885573BBC6D7}"/>
            </c:ext>
          </c:extLst>
        </c:ser>
        <c:ser>
          <c:idx val="3"/>
          <c:order val="3"/>
          <c:tx>
            <c:strRef>
              <c:f>'Vannbehandling - Resultater'!$A$97</c:f>
              <c:strCache>
                <c:ptCount val="1"/>
                <c:pt idx="0">
                  <c:v>Karbonkilder</c:v>
                </c:pt>
              </c:strCache>
            </c:strRef>
          </c:tx>
          <c:spPr>
            <a:solidFill>
              <a:schemeClr val="accent4"/>
            </a:solidFill>
            <a:ln>
              <a:noFill/>
            </a:ln>
            <a:effectLst/>
          </c:spPr>
          <c:invertIfNegative val="0"/>
          <c:cat>
            <c:strRef>
              <c:f>'Vannbehandling - Resultater'!$B$94</c:f>
              <c:strCache>
                <c:ptCount val="1"/>
                <c:pt idx="0">
                  <c:v>kg CO₂ ekv./år</c:v>
                </c:pt>
              </c:strCache>
            </c:strRef>
          </c:cat>
          <c:val>
            <c:numRef>
              <c:f>'Vannbehandling - Resultater'!$B$97</c:f>
              <c:numCache>
                <c:formatCode>#,##0</c:formatCode>
                <c:ptCount val="1"/>
                <c:pt idx="0">
                  <c:v>0</c:v>
                </c:pt>
              </c:numCache>
            </c:numRef>
          </c:val>
          <c:extLst>
            <c:ext xmlns:c16="http://schemas.microsoft.com/office/drawing/2014/chart" uri="{C3380CC4-5D6E-409C-BE32-E72D297353CC}">
              <c16:uniqueId val="{00000003-1F38-41D6-87E7-885573BBC6D7}"/>
            </c:ext>
          </c:extLst>
        </c:ser>
        <c:ser>
          <c:idx val="4"/>
          <c:order val="4"/>
          <c:tx>
            <c:strRef>
              <c:f>'Vannbehandling - Resultater'!$A$98</c:f>
              <c:strCache>
                <c:ptCount val="1"/>
                <c:pt idx="0">
                  <c:v>Kjemikalier – pH-justering/korrosjonskontroll</c:v>
                </c:pt>
              </c:strCache>
            </c:strRef>
          </c:tx>
          <c:spPr>
            <a:solidFill>
              <a:schemeClr val="accent5"/>
            </a:solidFill>
            <a:ln>
              <a:noFill/>
            </a:ln>
            <a:effectLst/>
          </c:spPr>
          <c:invertIfNegative val="0"/>
          <c:cat>
            <c:strRef>
              <c:f>'Vannbehandling - Resultater'!$B$94</c:f>
              <c:strCache>
                <c:ptCount val="1"/>
                <c:pt idx="0">
                  <c:v>kg CO₂ ekv./år</c:v>
                </c:pt>
              </c:strCache>
            </c:strRef>
          </c:cat>
          <c:val>
            <c:numRef>
              <c:f>'Vannbehandling - Resultater'!$B$98</c:f>
              <c:numCache>
                <c:formatCode>#,##0</c:formatCode>
                <c:ptCount val="1"/>
                <c:pt idx="0">
                  <c:v>0</c:v>
                </c:pt>
              </c:numCache>
            </c:numRef>
          </c:val>
          <c:extLst>
            <c:ext xmlns:c16="http://schemas.microsoft.com/office/drawing/2014/chart" uri="{C3380CC4-5D6E-409C-BE32-E72D297353CC}">
              <c16:uniqueId val="{00000004-1F38-41D6-87E7-885573BBC6D7}"/>
            </c:ext>
          </c:extLst>
        </c:ser>
        <c:ser>
          <c:idx val="5"/>
          <c:order val="5"/>
          <c:tx>
            <c:strRef>
              <c:f>'Vannbehandling - Resultater'!$A$99</c:f>
              <c:strCache>
                <c:ptCount val="1"/>
                <c:pt idx="0">
                  <c:v>Andre kjemikalier</c:v>
                </c:pt>
              </c:strCache>
            </c:strRef>
          </c:tx>
          <c:spPr>
            <a:solidFill>
              <a:schemeClr val="accent6"/>
            </a:solidFill>
            <a:ln>
              <a:noFill/>
            </a:ln>
            <a:effectLst/>
          </c:spPr>
          <c:invertIfNegative val="0"/>
          <c:cat>
            <c:strRef>
              <c:f>'Vannbehandling - Resultater'!$B$94</c:f>
              <c:strCache>
                <c:ptCount val="1"/>
                <c:pt idx="0">
                  <c:v>kg CO₂ ekv./år</c:v>
                </c:pt>
              </c:strCache>
            </c:strRef>
          </c:cat>
          <c:val>
            <c:numRef>
              <c:f>'Vannbehandling - Resultater'!$B$99</c:f>
              <c:numCache>
                <c:formatCode>#,##0</c:formatCode>
                <c:ptCount val="1"/>
                <c:pt idx="0">
                  <c:v>0</c:v>
                </c:pt>
              </c:numCache>
            </c:numRef>
          </c:val>
          <c:extLst>
            <c:ext xmlns:c16="http://schemas.microsoft.com/office/drawing/2014/chart" uri="{C3380CC4-5D6E-409C-BE32-E72D297353CC}">
              <c16:uniqueId val="{00000005-1F38-41D6-87E7-885573BBC6D7}"/>
            </c:ext>
          </c:extLst>
        </c:ser>
        <c:ser>
          <c:idx val="6"/>
          <c:order val="6"/>
          <c:tx>
            <c:strRef>
              <c:f>'Vannbehandling - Resultater'!$A$101</c:f>
              <c:strCache>
                <c:ptCount val="1"/>
                <c:pt idx="0">
                  <c:v>Slam, ristgods og masser</c:v>
                </c:pt>
              </c:strCache>
            </c:strRef>
          </c:tx>
          <c:spPr>
            <a:solidFill>
              <a:schemeClr val="accent1">
                <a:lumMod val="60000"/>
              </a:schemeClr>
            </a:solidFill>
            <a:ln>
              <a:noFill/>
            </a:ln>
            <a:effectLst/>
          </c:spPr>
          <c:invertIfNegative val="0"/>
          <c:cat>
            <c:strRef>
              <c:f>'Vannbehandling - Resultater'!$B$94</c:f>
              <c:strCache>
                <c:ptCount val="1"/>
                <c:pt idx="0">
                  <c:v>kg CO₂ ekv./år</c:v>
                </c:pt>
              </c:strCache>
            </c:strRef>
          </c:cat>
          <c:val>
            <c:numRef>
              <c:f>'Vannbehandling - Resultater'!$B$101</c:f>
              <c:numCache>
                <c:formatCode>#,##0</c:formatCode>
                <c:ptCount val="1"/>
                <c:pt idx="0">
                  <c:v>0</c:v>
                </c:pt>
              </c:numCache>
            </c:numRef>
          </c:val>
          <c:extLst>
            <c:ext xmlns:c16="http://schemas.microsoft.com/office/drawing/2014/chart" uri="{C3380CC4-5D6E-409C-BE32-E72D297353CC}">
              <c16:uniqueId val="{00000006-1F38-41D6-87E7-885573BBC6D7}"/>
            </c:ext>
          </c:extLst>
        </c:ser>
        <c:dLbls>
          <c:showLegendKey val="0"/>
          <c:showVal val="0"/>
          <c:showCatName val="0"/>
          <c:showSerName val="0"/>
          <c:showPercent val="0"/>
          <c:showBubbleSize val="0"/>
        </c:dLbls>
        <c:gapWidth val="150"/>
        <c:overlap val="100"/>
        <c:axId val="915578736"/>
        <c:axId val="915583984"/>
      </c:barChart>
      <c:catAx>
        <c:axId val="915578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984"/>
        <c:crosses val="autoZero"/>
        <c:auto val="1"/>
        <c:lblAlgn val="ctr"/>
        <c:lblOffset val="100"/>
        <c:noMultiLvlLbl val="0"/>
      </c:catAx>
      <c:valAx>
        <c:axId val="9155839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78736"/>
        <c:crosses val="autoZero"/>
        <c:crossBetween val="between"/>
      </c:valAx>
      <c:spPr>
        <a:solidFill>
          <a:schemeClr val="bg2"/>
        </a:solidFill>
        <a:ln>
          <a:noFill/>
        </a:ln>
        <a:effectLst/>
      </c:spPr>
    </c:plotArea>
    <c:legend>
      <c:legendPos val="b"/>
      <c:legendEntry>
        <c:idx val="0"/>
        <c:delete val="1"/>
      </c:legendEntry>
      <c:layout>
        <c:manualLayout>
          <c:xMode val="edge"/>
          <c:yMode val="edge"/>
          <c:x val="2.4342384591631929E-2"/>
          <c:y val="0.64875816142816856"/>
          <c:w val="0.94444500733364212"/>
          <c:h val="0.29614541983904902"/>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nb-NO"/>
        </a:p>
      </c:txPr>
    </c:title>
    <c:autoTitleDeleted val="0"/>
    <c:plotArea>
      <c:layout>
        <c:manualLayout>
          <c:layoutTarget val="inner"/>
          <c:xMode val="edge"/>
          <c:yMode val="edge"/>
          <c:x val="5.1616113115877646E-2"/>
          <c:y val="0.17390468259696221"/>
          <c:w val="0.91913079148992483"/>
          <c:h val="0.52094279733020277"/>
        </c:manualLayout>
      </c:layout>
      <c:barChart>
        <c:barDir val="col"/>
        <c:grouping val="clustered"/>
        <c:varyColors val="0"/>
        <c:ser>
          <c:idx val="0"/>
          <c:order val="0"/>
          <c:tx>
            <c:strRef>
              <c:f>'Vannbehandling - Resultater'!$K$2</c:f>
              <c:strCache>
                <c:ptCount val="1"/>
                <c:pt idx="0">
                  <c:v>kg CO₂ ekv./år</c:v>
                </c:pt>
              </c:strCache>
            </c:strRef>
          </c:tx>
          <c:spPr>
            <a:solidFill>
              <a:schemeClr val="accent1"/>
            </a:solidFill>
            <a:ln>
              <a:noFill/>
            </a:ln>
            <a:effectLst/>
          </c:spPr>
          <c:invertIfNegative val="0"/>
          <c:cat>
            <c:strRef>
              <c:f>'Vannbehandling - Resultater'!$J$3:$J$9</c:f>
              <c:strCache>
                <c:ptCount val="7"/>
                <c:pt idx="0">
                  <c:v>Energi</c:v>
                </c:pt>
                <c:pt idx="1">
                  <c:v>Filtermasser</c:v>
                </c:pt>
                <c:pt idx="2">
                  <c:v>Kjemikalier - felling</c:v>
                </c:pt>
                <c:pt idx="3">
                  <c:v>Karbonkilder</c:v>
                </c:pt>
                <c:pt idx="4">
                  <c:v>Kjemikalier – pH-justering/korrosjonskontroll</c:v>
                </c:pt>
                <c:pt idx="5">
                  <c:v>Andre kjemikalier og forbruksvarer</c:v>
                </c:pt>
                <c:pt idx="6">
                  <c:v>Transport</c:v>
                </c:pt>
              </c:strCache>
            </c:strRef>
          </c:cat>
          <c:val>
            <c:numRef>
              <c:f>'Vannbehandling - Resultater'!$K$3:$K$9</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1EA9-494E-B744-3EDF4700F042}"/>
            </c:ext>
          </c:extLst>
        </c:ser>
        <c:dLbls>
          <c:showLegendKey val="0"/>
          <c:showVal val="0"/>
          <c:showCatName val="0"/>
          <c:showSerName val="0"/>
          <c:showPercent val="0"/>
          <c:showBubbleSize val="0"/>
        </c:dLbls>
        <c:gapWidth val="219"/>
        <c:overlap val="-27"/>
        <c:axId val="656369800"/>
        <c:axId val="656370128"/>
      </c:barChart>
      <c:catAx>
        <c:axId val="65636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70128"/>
        <c:crosses val="autoZero"/>
        <c:auto val="1"/>
        <c:lblAlgn val="ctr"/>
        <c:lblOffset val="100"/>
        <c:noMultiLvlLbl val="0"/>
      </c:catAx>
      <c:valAx>
        <c:axId val="656370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69800"/>
        <c:crosses val="autoZero"/>
        <c:crossBetween val="between"/>
      </c:valAx>
      <c:spPr>
        <a:solidFill>
          <a:schemeClr val="bg2"/>
        </a:solidFill>
        <a:ln w="9525" cap="flat" cmpd="sng" algn="ctr">
          <a:noFill/>
          <a:prstDash val="solid"/>
          <a:round/>
          <a:headEnd type="none" w="med" len="med"/>
          <a:tailEnd type="none" w="med" len="med"/>
        </a:ln>
        <a:effectLst/>
      </c:spPr>
    </c:plotArea>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Resultater'!$A$3</c:f>
              <c:strCache>
                <c:ptCount val="1"/>
                <c:pt idx="0">
                  <c:v>Elektrisitet, Norsk forbruksmiks</c:v>
                </c:pt>
              </c:strCache>
            </c:strRef>
          </c:tx>
          <c:spPr>
            <a:solidFill>
              <a:schemeClr val="accent1"/>
            </a:solidFill>
            <a:ln>
              <a:noFill/>
            </a:ln>
            <a:effectLst/>
          </c:spPr>
          <c:invertIfNegative val="0"/>
          <c:cat>
            <c:strRef>
              <c:f>'Vannbehandling - Resultater'!$B$2</c:f>
              <c:strCache>
                <c:ptCount val="1"/>
                <c:pt idx="0">
                  <c:v>kg CO₂ ekv./år</c:v>
                </c:pt>
              </c:strCache>
            </c:strRef>
          </c:cat>
          <c:val>
            <c:numRef>
              <c:f>'Vannbehandling - Resultater'!$B$3</c:f>
              <c:numCache>
                <c:formatCode>#,##0</c:formatCode>
                <c:ptCount val="1"/>
                <c:pt idx="0">
                  <c:v>0</c:v>
                </c:pt>
              </c:numCache>
            </c:numRef>
          </c:val>
          <c:extLst>
            <c:ext xmlns:c16="http://schemas.microsoft.com/office/drawing/2014/chart" uri="{C3380CC4-5D6E-409C-BE32-E72D297353CC}">
              <c16:uniqueId val="{00000000-E467-420C-8995-8ABBF8699CC1}"/>
            </c:ext>
          </c:extLst>
        </c:ser>
        <c:ser>
          <c:idx val="2"/>
          <c:order val="1"/>
          <c:tx>
            <c:strRef>
              <c:f>'Vannbehandling - Resultater'!$A$4</c:f>
              <c:strCache>
                <c:ptCount val="1"/>
                <c:pt idx="0">
                  <c:v>Fjernvarme</c:v>
                </c:pt>
              </c:strCache>
            </c:strRef>
          </c:tx>
          <c:spPr>
            <a:solidFill>
              <a:schemeClr val="accent3"/>
            </a:solidFill>
            <a:ln>
              <a:noFill/>
            </a:ln>
            <a:effectLst/>
          </c:spPr>
          <c:invertIfNegative val="0"/>
          <c:cat>
            <c:strRef>
              <c:f>'Vannbehandling - Resultater'!$B$2</c:f>
              <c:strCache>
                <c:ptCount val="1"/>
                <c:pt idx="0">
                  <c:v>kg CO₂ ekv./år</c:v>
                </c:pt>
              </c:strCache>
            </c:strRef>
          </c:cat>
          <c:val>
            <c:numRef>
              <c:f>'Vannbehandling - Resultater'!$B$4</c:f>
              <c:numCache>
                <c:formatCode>#,##0</c:formatCode>
                <c:ptCount val="1"/>
                <c:pt idx="0">
                  <c:v>0</c:v>
                </c:pt>
              </c:numCache>
            </c:numRef>
          </c:val>
          <c:extLst>
            <c:ext xmlns:c16="http://schemas.microsoft.com/office/drawing/2014/chart" uri="{C3380CC4-5D6E-409C-BE32-E72D297353CC}">
              <c16:uniqueId val="{00000002-E467-420C-8995-8ABBF8699CC1}"/>
            </c:ext>
          </c:extLst>
        </c:ser>
        <c:ser>
          <c:idx val="3"/>
          <c:order val="2"/>
          <c:tx>
            <c:strRef>
              <c:f>'Vannbehandling - Resultater'!$A$5</c:f>
              <c:strCache>
                <c:ptCount val="1"/>
                <c:pt idx="0">
                  <c:v>Naturgassfyring</c:v>
                </c:pt>
              </c:strCache>
            </c:strRef>
          </c:tx>
          <c:spPr>
            <a:solidFill>
              <a:schemeClr val="accent4"/>
            </a:solidFill>
            <a:ln>
              <a:noFill/>
            </a:ln>
            <a:effectLst/>
          </c:spPr>
          <c:invertIfNegative val="0"/>
          <c:cat>
            <c:strRef>
              <c:f>'Vannbehandling - Resultater'!$B$2</c:f>
              <c:strCache>
                <c:ptCount val="1"/>
                <c:pt idx="0">
                  <c:v>kg CO₂ ekv./år</c:v>
                </c:pt>
              </c:strCache>
            </c:strRef>
          </c:cat>
          <c:val>
            <c:numRef>
              <c:f>'Vannbehandling - Resultater'!$B$5</c:f>
              <c:numCache>
                <c:formatCode>#,##0</c:formatCode>
                <c:ptCount val="1"/>
                <c:pt idx="0">
                  <c:v>0</c:v>
                </c:pt>
              </c:numCache>
            </c:numRef>
          </c:val>
          <c:extLst>
            <c:ext xmlns:c16="http://schemas.microsoft.com/office/drawing/2014/chart" uri="{C3380CC4-5D6E-409C-BE32-E72D297353CC}">
              <c16:uniqueId val="{00000003-E467-420C-8995-8ABBF8699CC1}"/>
            </c:ext>
          </c:extLst>
        </c:ser>
        <c:ser>
          <c:idx val="4"/>
          <c:order val="3"/>
          <c:tx>
            <c:strRef>
              <c:f>'Vannbehandling - Resultater'!$A$6</c:f>
              <c:strCache>
                <c:ptCount val="1"/>
                <c:pt idx="0">
                  <c:v>Propanfyring</c:v>
                </c:pt>
              </c:strCache>
            </c:strRef>
          </c:tx>
          <c:spPr>
            <a:solidFill>
              <a:schemeClr val="accent5"/>
            </a:solidFill>
            <a:ln>
              <a:noFill/>
            </a:ln>
            <a:effectLst/>
          </c:spPr>
          <c:invertIfNegative val="0"/>
          <c:cat>
            <c:strRef>
              <c:f>'Vannbehandling - Resultater'!$B$2</c:f>
              <c:strCache>
                <c:ptCount val="1"/>
                <c:pt idx="0">
                  <c:v>kg CO₂ ekv./år</c:v>
                </c:pt>
              </c:strCache>
            </c:strRef>
          </c:cat>
          <c:val>
            <c:numRef>
              <c:f>'Vannbehandling - Resultater'!$B$6</c:f>
              <c:numCache>
                <c:formatCode>#,##0</c:formatCode>
                <c:ptCount val="1"/>
                <c:pt idx="0">
                  <c:v>0</c:v>
                </c:pt>
              </c:numCache>
            </c:numRef>
          </c:val>
          <c:extLst>
            <c:ext xmlns:c16="http://schemas.microsoft.com/office/drawing/2014/chart" uri="{C3380CC4-5D6E-409C-BE32-E72D297353CC}">
              <c16:uniqueId val="{00000004-E467-420C-8995-8ABBF8699CC1}"/>
            </c:ext>
          </c:extLst>
        </c:ser>
        <c:ser>
          <c:idx val="5"/>
          <c:order val="4"/>
          <c:tx>
            <c:strRef>
              <c:f>'Vannbehandling - Resultater'!$A$7</c:f>
              <c:strCache>
                <c:ptCount val="1"/>
                <c:pt idx="0">
                  <c:v>Oljefyring</c:v>
                </c:pt>
              </c:strCache>
            </c:strRef>
          </c:tx>
          <c:spPr>
            <a:solidFill>
              <a:schemeClr val="accent6"/>
            </a:solidFill>
            <a:ln>
              <a:noFill/>
            </a:ln>
            <a:effectLst/>
          </c:spPr>
          <c:invertIfNegative val="0"/>
          <c:cat>
            <c:strRef>
              <c:f>'Vannbehandling - Resultater'!$B$2</c:f>
              <c:strCache>
                <c:ptCount val="1"/>
                <c:pt idx="0">
                  <c:v>kg CO₂ ekv./år</c:v>
                </c:pt>
              </c:strCache>
            </c:strRef>
          </c:cat>
          <c:val>
            <c:numRef>
              <c:f>'Vannbehandling - Resultater'!$B$7</c:f>
              <c:numCache>
                <c:formatCode>#,##0</c:formatCode>
                <c:ptCount val="1"/>
                <c:pt idx="0">
                  <c:v>0</c:v>
                </c:pt>
              </c:numCache>
            </c:numRef>
          </c:val>
          <c:extLst>
            <c:ext xmlns:c16="http://schemas.microsoft.com/office/drawing/2014/chart" uri="{C3380CC4-5D6E-409C-BE32-E72D297353CC}">
              <c16:uniqueId val="{00000005-E467-420C-8995-8ABBF8699CC1}"/>
            </c:ext>
          </c:extLst>
        </c:ser>
        <c:ser>
          <c:idx val="1"/>
          <c:order val="5"/>
          <c:tx>
            <c:strRef>
              <c:f>'Vannbehandling - Resultater'!$A$8</c:f>
              <c:strCache>
                <c:ptCount val="1"/>
                <c:pt idx="0">
                  <c:v>Pelletsfyring</c:v>
                </c:pt>
              </c:strCache>
            </c:strRef>
          </c:tx>
          <c:spPr>
            <a:solidFill>
              <a:schemeClr val="accent2"/>
            </a:solidFill>
            <a:ln>
              <a:noFill/>
            </a:ln>
            <a:effectLst/>
          </c:spPr>
          <c:invertIfNegative val="0"/>
          <c:cat>
            <c:strRef>
              <c:f>'Vannbehandling - Resultater'!$B$2</c:f>
              <c:strCache>
                <c:ptCount val="1"/>
                <c:pt idx="0">
                  <c:v>kg CO₂ ekv./år</c:v>
                </c:pt>
              </c:strCache>
            </c:strRef>
          </c:cat>
          <c:val>
            <c:numRef>
              <c:f>'Vannbehandling - Resultater'!$B$8</c:f>
              <c:numCache>
                <c:formatCode>#,##0</c:formatCode>
                <c:ptCount val="1"/>
                <c:pt idx="0">
                  <c:v>0</c:v>
                </c:pt>
              </c:numCache>
            </c:numRef>
          </c:val>
          <c:extLst>
            <c:ext xmlns:c16="http://schemas.microsoft.com/office/drawing/2014/chart" uri="{C3380CC4-5D6E-409C-BE32-E72D297353CC}">
              <c16:uniqueId val="{00000001-159B-446C-AADC-FC67D4322EA3}"/>
            </c:ext>
          </c:extLst>
        </c:ser>
        <c:dLbls>
          <c:showLegendKey val="0"/>
          <c:showVal val="0"/>
          <c:showCatName val="0"/>
          <c:showSerName val="0"/>
          <c:showPercent val="0"/>
          <c:showBubbleSize val="0"/>
        </c:dLbls>
        <c:gapWidth val="150"/>
        <c:overlap val="100"/>
        <c:axId val="789187704"/>
        <c:axId val="789187376"/>
      </c:barChart>
      <c:catAx>
        <c:axId val="789187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376"/>
        <c:crosses val="autoZero"/>
        <c:auto val="1"/>
        <c:lblAlgn val="ctr"/>
        <c:lblOffset val="100"/>
        <c:noMultiLvlLbl val="0"/>
      </c:catAx>
      <c:valAx>
        <c:axId val="78918737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70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818662263200285"/>
          <c:y val="0.13681592039800994"/>
          <c:w val="0.72307614981102608"/>
          <c:h val="0.40207231558741718"/>
        </c:manualLayout>
      </c:layout>
      <c:barChart>
        <c:barDir val="bar"/>
        <c:grouping val="percentStacked"/>
        <c:varyColors val="0"/>
        <c:ser>
          <c:idx val="0"/>
          <c:order val="0"/>
          <c:tx>
            <c:strRef>
              <c:f>'Vannbehandling - Resultater'!$A$12</c:f>
              <c:strCache>
                <c:ptCount val="1"/>
                <c:pt idx="0">
                  <c:v>Filtralite</c:v>
                </c:pt>
              </c:strCache>
            </c:strRef>
          </c:tx>
          <c:spPr>
            <a:solidFill>
              <a:schemeClr val="accent1"/>
            </a:solidFill>
            <a:ln>
              <a:noFill/>
            </a:ln>
            <a:effectLst/>
          </c:spPr>
          <c:invertIfNegative val="0"/>
          <c:cat>
            <c:strRef>
              <c:f>'Vannbehandling - Resultater'!$B$11</c:f>
              <c:strCache>
                <c:ptCount val="1"/>
                <c:pt idx="0">
                  <c:v>kg CO₂ ekv./år</c:v>
                </c:pt>
              </c:strCache>
            </c:strRef>
          </c:cat>
          <c:val>
            <c:numRef>
              <c:f>'Vannbehandling - Resultater'!$B$12</c:f>
              <c:numCache>
                <c:formatCode>#,##0</c:formatCode>
                <c:ptCount val="1"/>
                <c:pt idx="0">
                  <c:v>0</c:v>
                </c:pt>
              </c:numCache>
            </c:numRef>
          </c:val>
          <c:extLst>
            <c:ext xmlns:c16="http://schemas.microsoft.com/office/drawing/2014/chart" uri="{C3380CC4-5D6E-409C-BE32-E72D297353CC}">
              <c16:uniqueId val="{00000000-B37F-4DB8-ABB0-C7917D310F36}"/>
            </c:ext>
          </c:extLst>
        </c:ser>
        <c:ser>
          <c:idx val="1"/>
          <c:order val="1"/>
          <c:tx>
            <c:strRef>
              <c:f>'Vannbehandling - Resultater'!$A$13</c:f>
              <c:strCache>
                <c:ptCount val="1"/>
                <c:pt idx="0">
                  <c:v>Antrasitt</c:v>
                </c:pt>
              </c:strCache>
            </c:strRef>
          </c:tx>
          <c:spPr>
            <a:solidFill>
              <a:schemeClr val="accent2"/>
            </a:solidFill>
            <a:ln>
              <a:noFill/>
            </a:ln>
            <a:effectLst/>
          </c:spPr>
          <c:invertIfNegative val="0"/>
          <c:cat>
            <c:strRef>
              <c:f>'Vannbehandling - Resultater'!$B$11</c:f>
              <c:strCache>
                <c:ptCount val="1"/>
                <c:pt idx="0">
                  <c:v>kg CO₂ ekv./år</c:v>
                </c:pt>
              </c:strCache>
            </c:strRef>
          </c:cat>
          <c:val>
            <c:numRef>
              <c:f>'Vannbehandling - Resultater'!$B$13</c:f>
              <c:numCache>
                <c:formatCode>#,##0</c:formatCode>
                <c:ptCount val="1"/>
                <c:pt idx="0">
                  <c:v>0</c:v>
                </c:pt>
              </c:numCache>
            </c:numRef>
          </c:val>
          <c:extLst>
            <c:ext xmlns:c16="http://schemas.microsoft.com/office/drawing/2014/chart" uri="{C3380CC4-5D6E-409C-BE32-E72D297353CC}">
              <c16:uniqueId val="{00000001-B37F-4DB8-ABB0-C7917D310F36}"/>
            </c:ext>
          </c:extLst>
        </c:ser>
        <c:ser>
          <c:idx val="2"/>
          <c:order val="2"/>
          <c:tx>
            <c:strRef>
              <c:f>'Vannbehandling - Resultater'!$A$14</c:f>
              <c:strCache>
                <c:ptCount val="1"/>
                <c:pt idx="0">
                  <c:v>Kvarts</c:v>
                </c:pt>
              </c:strCache>
            </c:strRef>
          </c:tx>
          <c:spPr>
            <a:solidFill>
              <a:schemeClr val="accent3"/>
            </a:solidFill>
            <a:ln>
              <a:noFill/>
            </a:ln>
            <a:effectLst/>
          </c:spPr>
          <c:invertIfNegative val="0"/>
          <c:cat>
            <c:strRef>
              <c:f>'Vannbehandling - Resultater'!$B$11</c:f>
              <c:strCache>
                <c:ptCount val="1"/>
                <c:pt idx="0">
                  <c:v>kg CO₂ ekv./år</c:v>
                </c:pt>
              </c:strCache>
            </c:strRef>
          </c:cat>
          <c:val>
            <c:numRef>
              <c:f>'Vannbehandling - Resultater'!$B$14</c:f>
              <c:numCache>
                <c:formatCode>#,##0</c:formatCode>
                <c:ptCount val="1"/>
                <c:pt idx="0">
                  <c:v>0</c:v>
                </c:pt>
              </c:numCache>
            </c:numRef>
          </c:val>
          <c:extLst>
            <c:ext xmlns:c16="http://schemas.microsoft.com/office/drawing/2014/chart" uri="{C3380CC4-5D6E-409C-BE32-E72D297353CC}">
              <c16:uniqueId val="{00000002-B37F-4DB8-ABB0-C7917D310F36}"/>
            </c:ext>
          </c:extLst>
        </c:ser>
        <c:ser>
          <c:idx val="3"/>
          <c:order val="3"/>
          <c:tx>
            <c:strRef>
              <c:f>'Vannbehandling - Resultater'!$A$15</c:f>
              <c:strCache>
                <c:ptCount val="1"/>
                <c:pt idx="0">
                  <c:v>Marmor</c:v>
                </c:pt>
              </c:strCache>
            </c:strRef>
          </c:tx>
          <c:spPr>
            <a:solidFill>
              <a:schemeClr val="accent4"/>
            </a:solidFill>
            <a:ln>
              <a:noFill/>
            </a:ln>
            <a:effectLst/>
          </c:spPr>
          <c:invertIfNegative val="0"/>
          <c:cat>
            <c:strRef>
              <c:f>'Vannbehandling - Resultater'!$B$11</c:f>
              <c:strCache>
                <c:ptCount val="1"/>
                <c:pt idx="0">
                  <c:v>kg CO₂ ekv./år</c:v>
                </c:pt>
              </c:strCache>
            </c:strRef>
          </c:cat>
          <c:val>
            <c:numRef>
              <c:f>'Vannbehandling - Resultater'!$B$15</c:f>
              <c:numCache>
                <c:formatCode>#,##0</c:formatCode>
                <c:ptCount val="1"/>
                <c:pt idx="0">
                  <c:v>0</c:v>
                </c:pt>
              </c:numCache>
            </c:numRef>
          </c:val>
          <c:extLst>
            <c:ext xmlns:c16="http://schemas.microsoft.com/office/drawing/2014/chart" uri="{C3380CC4-5D6E-409C-BE32-E72D297353CC}">
              <c16:uniqueId val="{00000003-B37F-4DB8-ABB0-C7917D310F36}"/>
            </c:ext>
          </c:extLst>
        </c:ser>
        <c:ser>
          <c:idx val="4"/>
          <c:order val="4"/>
          <c:tx>
            <c:strRef>
              <c:f>'Vannbehandling - Resultater'!$A$16</c:f>
              <c:strCache>
                <c:ptCount val="1"/>
                <c:pt idx="0">
                  <c:v>Mikronisert marmor </c:v>
                </c:pt>
              </c:strCache>
            </c:strRef>
          </c:tx>
          <c:spPr>
            <a:solidFill>
              <a:schemeClr val="accent5"/>
            </a:solidFill>
            <a:ln>
              <a:noFill/>
            </a:ln>
            <a:effectLst/>
          </c:spPr>
          <c:invertIfNegative val="0"/>
          <c:cat>
            <c:strRef>
              <c:f>'Vannbehandling - Resultater'!$B$11</c:f>
              <c:strCache>
                <c:ptCount val="1"/>
                <c:pt idx="0">
                  <c:v>kg CO₂ ekv./år</c:v>
                </c:pt>
              </c:strCache>
            </c:strRef>
          </c:cat>
          <c:val>
            <c:numRef>
              <c:f>'Vannbehandling - Resultater'!$B$16</c:f>
              <c:numCache>
                <c:formatCode>#,##0</c:formatCode>
                <c:ptCount val="1"/>
                <c:pt idx="0">
                  <c:v>0</c:v>
                </c:pt>
              </c:numCache>
            </c:numRef>
          </c:val>
          <c:extLst>
            <c:ext xmlns:c16="http://schemas.microsoft.com/office/drawing/2014/chart" uri="{C3380CC4-5D6E-409C-BE32-E72D297353CC}">
              <c16:uniqueId val="{00000000-66E4-4683-90CF-89314F150253}"/>
            </c:ext>
          </c:extLst>
        </c:ser>
        <c:dLbls>
          <c:showLegendKey val="0"/>
          <c:showVal val="0"/>
          <c:showCatName val="0"/>
          <c:showSerName val="0"/>
          <c:showPercent val="0"/>
          <c:showBubbleSize val="0"/>
        </c:dLbls>
        <c:gapWidth val="150"/>
        <c:overlap val="100"/>
        <c:axId val="753771744"/>
        <c:axId val="753773712"/>
      </c:barChart>
      <c:catAx>
        <c:axId val="753771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712"/>
        <c:crosses val="autoZero"/>
        <c:auto val="1"/>
        <c:lblAlgn val="ctr"/>
        <c:lblOffset val="100"/>
        <c:noMultiLvlLbl val="0"/>
      </c:catAx>
      <c:valAx>
        <c:axId val="75377371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174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3"/>
          <c:order val="0"/>
          <c:tx>
            <c:strRef>
              <c:f>'Vannbehandling - Resultater'!$A$20</c:f>
              <c:strCache>
                <c:ptCount val="1"/>
                <c:pt idx="0">
                  <c:v>ALS</c:v>
                </c:pt>
              </c:strCache>
            </c:strRef>
          </c:tx>
          <c:spPr>
            <a:solidFill>
              <a:schemeClr val="accent4"/>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Resultater'!$B$20</c15:sqref>
                  </c15:fullRef>
                </c:ext>
              </c:extLst>
              <c:f>'Vannbehandling - Resultater'!$B$20</c:f>
              <c:numCache>
                <c:formatCode>#,##0</c:formatCode>
                <c:ptCount val="1"/>
                <c:pt idx="0">
                  <c:v>0</c:v>
                </c:pt>
              </c:numCache>
            </c:numRef>
          </c:val>
          <c:extLst>
            <c:ext xmlns:c16="http://schemas.microsoft.com/office/drawing/2014/chart" uri="{C3380CC4-5D6E-409C-BE32-E72D297353CC}">
              <c16:uniqueId val="{00000000-90D4-405C-9A4D-CE0CD7303BC7}"/>
            </c:ext>
          </c:extLst>
        </c:ser>
        <c:ser>
          <c:idx val="5"/>
          <c:order val="1"/>
          <c:tx>
            <c:strRef>
              <c:f>'Vannbehandling - Resultater'!$A$21</c:f>
              <c:strCache>
                <c:ptCount val="1"/>
                <c:pt idx="0">
                  <c:v>ALG</c:v>
                </c:pt>
              </c:strCache>
            </c:strRef>
          </c:tx>
          <c:spPr>
            <a:solidFill>
              <a:schemeClr val="accent6"/>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Resultater'!$B$21</c15:sqref>
                  </c15:fullRef>
                </c:ext>
              </c:extLst>
              <c:f>'Vannbehandling - Resultater'!$B$21</c:f>
              <c:numCache>
                <c:formatCode>#,##0</c:formatCode>
                <c:ptCount val="1"/>
                <c:pt idx="0">
                  <c:v>0</c:v>
                </c:pt>
              </c:numCache>
            </c:numRef>
          </c:val>
          <c:extLst>
            <c:ext xmlns:c16="http://schemas.microsoft.com/office/drawing/2014/chart" uri="{C3380CC4-5D6E-409C-BE32-E72D297353CC}">
              <c16:uniqueId val="{00000000-C513-477F-9675-B8F773BC03E7}"/>
            </c:ext>
          </c:extLst>
        </c:ser>
        <c:ser>
          <c:idx val="2"/>
          <c:order val="2"/>
          <c:tx>
            <c:strRef>
              <c:f>'Vannbehandling - Resultater'!$A$23</c:f>
              <c:strCache>
                <c:ptCount val="1"/>
                <c:pt idx="0">
                  <c:v>Jern(III)Sulfat</c:v>
                </c:pt>
              </c:strCache>
            </c:strRef>
          </c:tx>
          <c:spPr>
            <a:solidFill>
              <a:schemeClr val="accent3"/>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Resultater'!$B$23:$D$23</c15:sqref>
                  </c15:fullRef>
                </c:ext>
              </c:extLst>
              <c:f>'Vannbehandling - Resultater'!$B$23</c:f>
              <c:numCache>
                <c:formatCode>#,##0</c:formatCode>
                <c:ptCount val="1"/>
                <c:pt idx="0">
                  <c:v>0</c:v>
                </c:pt>
              </c:numCache>
            </c:numRef>
          </c:val>
          <c:extLst>
            <c:ext xmlns:c16="http://schemas.microsoft.com/office/drawing/2014/chart" uri="{C3380CC4-5D6E-409C-BE32-E72D297353CC}">
              <c16:uniqueId val="{00000002-D26F-4DDB-8CFD-6FCE3636E307}"/>
            </c:ext>
          </c:extLst>
        </c:ser>
        <c:ser>
          <c:idx val="4"/>
          <c:order val="3"/>
          <c:tx>
            <c:strRef>
              <c:f>'Vannbehandling - Resultater'!$A$25</c:f>
              <c:strCache>
                <c:ptCount val="1"/>
                <c:pt idx="0">
                  <c:v>PIX-118, PIX 318</c:v>
                </c:pt>
              </c:strCache>
            </c:strRef>
          </c:tx>
          <c:spPr>
            <a:solidFill>
              <a:schemeClr val="accent5"/>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Resultater'!$B$25</c15:sqref>
                  </c15:fullRef>
                </c:ext>
              </c:extLst>
              <c:f>'Vannbehandling - Resultater'!$B$25</c:f>
              <c:numCache>
                <c:formatCode>#,##0</c:formatCode>
                <c:ptCount val="1"/>
                <c:pt idx="0">
                  <c:v>0</c:v>
                </c:pt>
              </c:numCache>
            </c:numRef>
          </c:val>
          <c:extLst>
            <c:ext xmlns:c16="http://schemas.microsoft.com/office/drawing/2014/chart" uri="{C3380CC4-5D6E-409C-BE32-E72D297353CC}">
              <c16:uniqueId val="{00000004-D26F-4DDB-8CFD-6FCE3636E307}"/>
            </c:ext>
          </c:extLst>
        </c:ser>
        <c:ser>
          <c:idx val="6"/>
          <c:order val="4"/>
          <c:tx>
            <c:strRef>
              <c:f>'Vannbehandling - Resultater'!$A$27</c:f>
              <c:strCache>
                <c:ptCount val="1"/>
                <c:pt idx="0">
                  <c:v>PIX-113</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Resultater'!$B$27:$D$27</c15:sqref>
                  </c15:fullRef>
                </c:ext>
              </c:extLst>
              <c:f>'Vannbehandling - Resultater'!$B$27</c:f>
              <c:numCache>
                <c:formatCode>#,##0</c:formatCode>
                <c:ptCount val="1"/>
                <c:pt idx="0">
                  <c:v>0</c:v>
                </c:pt>
              </c:numCache>
            </c:numRef>
          </c:val>
          <c:extLst>
            <c:ext xmlns:c16="http://schemas.microsoft.com/office/drawing/2014/chart" uri="{C3380CC4-5D6E-409C-BE32-E72D297353CC}">
              <c16:uniqueId val="{00000006-D26F-4DDB-8CFD-6FCE3636E307}"/>
            </c:ext>
          </c:extLst>
        </c:ser>
        <c:ser>
          <c:idx val="8"/>
          <c:order val="5"/>
          <c:tx>
            <c:strRef>
              <c:f>'Vannbehandling - Resultater'!$A$29</c:f>
              <c:strCache>
                <c:ptCount val="1"/>
                <c:pt idx="0">
                  <c:v>PIX-111, Plusjern S314</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Resultater'!$B$29:$D$29</c15:sqref>
                  </c15:fullRef>
                </c:ext>
              </c:extLst>
              <c:f>'Vannbehandling - Resultater'!$B$29</c:f>
              <c:numCache>
                <c:formatCode>#,##0</c:formatCode>
                <c:ptCount val="1"/>
                <c:pt idx="0">
                  <c:v>0</c:v>
                </c:pt>
              </c:numCache>
            </c:numRef>
          </c:val>
          <c:extLst>
            <c:ext xmlns:c16="http://schemas.microsoft.com/office/drawing/2014/chart" uri="{C3380CC4-5D6E-409C-BE32-E72D297353CC}">
              <c16:uniqueId val="{00000008-D26F-4DDB-8CFD-6FCE3636E307}"/>
            </c:ext>
          </c:extLst>
        </c:ser>
        <c:ser>
          <c:idx val="9"/>
          <c:order val="6"/>
          <c:tx>
            <c:strRef>
              <c:f>'Vannbehandling - Resultater'!$A$30</c:f>
              <c:strCache>
                <c:ptCount val="1"/>
                <c:pt idx="0">
                  <c:v>PIX-110</c:v>
                </c:pt>
              </c:strCache>
            </c:strRef>
          </c:tx>
          <c:spPr>
            <a:solidFill>
              <a:schemeClr val="accent4">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Resultater'!$B$30:$D$30</c15:sqref>
                  </c15:fullRef>
                </c:ext>
              </c:extLst>
              <c:f>'Vannbehandling - Resultater'!$B$30</c:f>
              <c:numCache>
                <c:formatCode>#,##0</c:formatCode>
                <c:ptCount val="1"/>
                <c:pt idx="0">
                  <c:v>0</c:v>
                </c:pt>
              </c:numCache>
            </c:numRef>
          </c:val>
          <c:extLst>
            <c:ext xmlns:c16="http://schemas.microsoft.com/office/drawing/2014/chart" uri="{C3380CC4-5D6E-409C-BE32-E72D297353CC}">
              <c16:uniqueId val="{00000009-D26F-4DDB-8CFD-6FCE3636E307}"/>
            </c:ext>
          </c:extLst>
        </c:ser>
        <c:ser>
          <c:idx val="11"/>
          <c:order val="7"/>
          <c:tx>
            <c:strRef>
              <c:f>'Vannbehandling - Resultater'!$A$32</c:f>
              <c:strCache>
                <c:ptCount val="1"/>
                <c:pt idx="0">
                  <c:v>Ekomix 1091</c:v>
                </c:pt>
              </c:strCache>
            </c:strRef>
          </c:tx>
          <c:spPr>
            <a:solidFill>
              <a:schemeClr val="accent6">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Resultater'!$B$32:$D$32</c15:sqref>
                  </c15:fullRef>
                </c:ext>
              </c:extLst>
              <c:f>'Vannbehandling - Resultater'!$B$32</c:f>
              <c:numCache>
                <c:formatCode>#,##0</c:formatCode>
                <c:ptCount val="1"/>
                <c:pt idx="0">
                  <c:v>0</c:v>
                </c:pt>
              </c:numCache>
            </c:numRef>
          </c:val>
          <c:extLst>
            <c:ext xmlns:c16="http://schemas.microsoft.com/office/drawing/2014/chart" uri="{C3380CC4-5D6E-409C-BE32-E72D297353CC}">
              <c16:uniqueId val="{0000000B-D26F-4DDB-8CFD-6FCE3636E307}"/>
            </c:ext>
          </c:extLst>
        </c:ser>
        <c:ser>
          <c:idx val="13"/>
          <c:order val="8"/>
          <c:tx>
            <c:strRef>
              <c:f>'Vannbehandling - Resultater'!$A$34</c:f>
              <c:strCache>
                <c:ptCount val="1"/>
                <c:pt idx="0">
                  <c:v>PAX-18, Ekoflock 89</c:v>
                </c:pt>
              </c:strCache>
            </c:strRef>
          </c:tx>
          <c:spPr>
            <a:solidFill>
              <a:schemeClr val="accent2">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Resultater'!$B$34:$D$34</c15:sqref>
                  </c15:fullRef>
                </c:ext>
              </c:extLst>
              <c:f>'Vannbehandling - Resultater'!$B$34</c:f>
              <c:numCache>
                <c:formatCode>#,##0</c:formatCode>
                <c:ptCount val="1"/>
                <c:pt idx="0">
                  <c:v>0</c:v>
                </c:pt>
              </c:numCache>
            </c:numRef>
          </c:val>
          <c:extLst>
            <c:ext xmlns:c16="http://schemas.microsoft.com/office/drawing/2014/chart" uri="{C3380CC4-5D6E-409C-BE32-E72D297353CC}">
              <c16:uniqueId val="{0000000D-D26F-4DDB-8CFD-6FCE3636E307}"/>
            </c:ext>
          </c:extLst>
        </c:ser>
        <c:ser>
          <c:idx val="14"/>
          <c:order val="9"/>
          <c:tx>
            <c:strRef>
              <c:f>'Vannbehandling - Resultater'!$A$35</c:f>
              <c:strCache>
                <c:ptCount val="1"/>
                <c:pt idx="0">
                  <c:v>PAX-15, XL61</c:v>
                </c:pt>
              </c:strCache>
            </c:strRef>
          </c:tx>
          <c:spPr>
            <a:solidFill>
              <a:schemeClr val="accent3">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Resultater'!$B$35:$D$35</c15:sqref>
                  </c15:fullRef>
                </c:ext>
              </c:extLst>
              <c:f>'Vannbehandling - Resultater'!$B$35</c:f>
              <c:numCache>
                <c:formatCode>#,##0</c:formatCode>
                <c:ptCount val="1"/>
                <c:pt idx="0">
                  <c:v>0</c:v>
                </c:pt>
              </c:numCache>
            </c:numRef>
          </c:val>
          <c:extLst>
            <c:ext xmlns:c16="http://schemas.microsoft.com/office/drawing/2014/chart" uri="{C3380CC4-5D6E-409C-BE32-E72D297353CC}">
              <c16:uniqueId val="{0000000E-D26F-4DDB-8CFD-6FCE3636E307}"/>
            </c:ext>
          </c:extLst>
        </c:ser>
        <c:ser>
          <c:idx val="15"/>
          <c:order val="10"/>
          <c:tx>
            <c:strRef>
              <c:f>'Vannbehandling - Resultater'!$A$36</c:f>
              <c:strCache>
                <c:ptCount val="1"/>
                <c:pt idx="0">
                  <c:v>PAX-LX100</c:v>
                </c:pt>
              </c:strCache>
            </c:strRef>
          </c:tx>
          <c:spPr>
            <a:solidFill>
              <a:schemeClr val="accent4">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Resultater'!$B$36:$D$36</c15:sqref>
                  </c15:fullRef>
                </c:ext>
              </c:extLst>
              <c:f>'Vannbehandling - Resultater'!$B$36</c:f>
              <c:numCache>
                <c:formatCode>#,##0</c:formatCode>
                <c:ptCount val="1"/>
                <c:pt idx="0">
                  <c:v>0</c:v>
                </c:pt>
              </c:numCache>
            </c:numRef>
          </c:val>
          <c:extLst>
            <c:ext xmlns:c16="http://schemas.microsoft.com/office/drawing/2014/chart" uri="{C3380CC4-5D6E-409C-BE32-E72D297353CC}">
              <c16:uniqueId val="{0000000F-D26F-4DDB-8CFD-6FCE3636E307}"/>
            </c:ext>
          </c:extLst>
        </c:ser>
        <c:ser>
          <c:idx val="16"/>
          <c:order val="11"/>
          <c:tx>
            <c:strRef>
              <c:f>'Vannbehandling - Resultater'!$A$37</c:f>
              <c:strCache>
                <c:ptCount val="1"/>
                <c:pt idx="0">
                  <c:v>PAX-215</c:v>
                </c:pt>
              </c:strCache>
            </c:strRef>
          </c:tx>
          <c:spPr>
            <a:solidFill>
              <a:schemeClr val="accent5">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'Vannbehandling - Resultater'!$B$37:$D$37</c15:sqref>
                  </c15:fullRef>
                </c:ext>
              </c:extLst>
              <c:f>'Vannbehandling - Resultater'!$B$37</c:f>
              <c:numCache>
                <c:formatCode>#,##0</c:formatCode>
                <c:ptCount val="1"/>
                <c:pt idx="0">
                  <c:v>0</c:v>
                </c:pt>
              </c:numCache>
            </c:numRef>
          </c:val>
          <c:extLst>
            <c:ext xmlns:c16="http://schemas.microsoft.com/office/drawing/2014/chart" uri="{C3380CC4-5D6E-409C-BE32-E72D297353CC}">
              <c16:uniqueId val="{00000010-D26F-4DDB-8CFD-6FCE3636E307}"/>
            </c:ext>
          </c:extLst>
        </c:ser>
        <c:ser>
          <c:idx val="0"/>
          <c:order val="12"/>
          <c:tx>
            <c:strRef>
              <c:f>'Vannbehandling - Resultater'!$A$39</c:f>
              <c:strCache>
                <c:ptCount val="1"/>
                <c:pt idx="0">
                  <c:v>Polyakrylamid</c:v>
                </c:pt>
              </c:strCache>
            </c:strRef>
          </c:tx>
          <c:spPr>
            <a:solidFill>
              <a:schemeClr val="accent1"/>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Resultater'!$B$39</c15:sqref>
                  </c15:fullRef>
                </c:ext>
              </c:extLst>
              <c:f>'Vannbehandling - Resultater'!$B$39</c:f>
              <c:numCache>
                <c:formatCode>#,##0</c:formatCode>
                <c:ptCount val="1"/>
                <c:pt idx="0">
                  <c:v>0</c:v>
                </c:pt>
              </c:numCache>
            </c:numRef>
          </c:val>
          <c:extLst>
            <c:ext xmlns:c16="http://schemas.microsoft.com/office/drawing/2014/chart" uri="{C3380CC4-5D6E-409C-BE32-E72D297353CC}">
              <c16:uniqueId val="{00000000-B67F-4E97-9FC2-E15803252621}"/>
            </c:ext>
          </c:extLst>
        </c:ser>
        <c:ser>
          <c:idx val="1"/>
          <c:order val="13"/>
          <c:tx>
            <c:strRef>
              <c:f>'Vannbehandling - Resultater'!$A$40</c:f>
              <c:strCache>
                <c:ptCount val="1"/>
                <c:pt idx="0">
                  <c:v>Zetag 8180/7550/8147</c:v>
                </c:pt>
              </c:strCache>
            </c:strRef>
          </c:tx>
          <c:spPr>
            <a:solidFill>
              <a:schemeClr val="accent2"/>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Resultater'!$B$40</c15:sqref>
                  </c15:fullRef>
                </c:ext>
              </c:extLst>
              <c:f>'Vannbehandling - Resultater'!$B$40</c:f>
              <c:numCache>
                <c:formatCode>#,##0</c:formatCode>
                <c:ptCount val="1"/>
                <c:pt idx="0">
                  <c:v>0</c:v>
                </c:pt>
              </c:numCache>
            </c:numRef>
          </c:val>
          <c:extLst>
            <c:ext xmlns:c16="http://schemas.microsoft.com/office/drawing/2014/chart" uri="{C3380CC4-5D6E-409C-BE32-E72D297353CC}">
              <c16:uniqueId val="{00000000-9736-465A-800D-22D2A93C5FA7}"/>
            </c:ext>
          </c:extLst>
        </c:ser>
        <c:dLbls>
          <c:showLegendKey val="0"/>
          <c:showVal val="0"/>
          <c:showCatName val="0"/>
          <c:showSerName val="0"/>
          <c:showPercent val="0"/>
          <c:showBubbleSize val="0"/>
        </c:dLbls>
        <c:gapWidth val="150"/>
        <c:overlap val="100"/>
        <c:axId val="759087608"/>
        <c:axId val="759090232"/>
      </c:barChart>
      <c:catAx>
        <c:axId val="759087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90232"/>
        <c:crosses val="autoZero"/>
        <c:auto val="1"/>
        <c:lblAlgn val="ctr"/>
        <c:lblOffset val="100"/>
        <c:noMultiLvlLbl val="0"/>
      </c:catAx>
      <c:valAx>
        <c:axId val="7590902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87608"/>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Resultater'!$A$43</c:f>
              <c:strCache>
                <c:ptCount val="1"/>
                <c:pt idx="0">
                  <c:v>Metanol</c:v>
                </c:pt>
              </c:strCache>
            </c:strRef>
          </c:tx>
          <c:spPr>
            <a:solidFill>
              <a:schemeClr val="accent1"/>
            </a:solidFill>
            <a:ln>
              <a:noFill/>
            </a:ln>
            <a:effectLst/>
          </c:spPr>
          <c:invertIfNegative val="0"/>
          <c:cat>
            <c:strRef>
              <c:f>'Vannbehandling - Resultater'!$B$42</c:f>
              <c:strCache>
                <c:ptCount val="1"/>
                <c:pt idx="0">
                  <c:v>kg CO₂ ekv./år</c:v>
                </c:pt>
              </c:strCache>
            </c:strRef>
          </c:cat>
          <c:val>
            <c:numRef>
              <c:f>'Vannbehandling - Resultater'!$B$43</c:f>
              <c:numCache>
                <c:formatCode>#,##0</c:formatCode>
                <c:ptCount val="1"/>
                <c:pt idx="0">
                  <c:v>0</c:v>
                </c:pt>
              </c:numCache>
            </c:numRef>
          </c:val>
          <c:extLst>
            <c:ext xmlns:c16="http://schemas.microsoft.com/office/drawing/2014/chart" uri="{C3380CC4-5D6E-409C-BE32-E72D297353CC}">
              <c16:uniqueId val="{00000000-E3C6-4B18-B7EB-7E50F5625E3F}"/>
            </c:ext>
          </c:extLst>
        </c:ser>
        <c:ser>
          <c:idx val="1"/>
          <c:order val="1"/>
          <c:tx>
            <c:strRef>
              <c:f>'Vannbehandling - Resultater'!$A$44</c:f>
              <c:strCache>
                <c:ptCount val="1"/>
                <c:pt idx="0">
                  <c:v>Etanol</c:v>
                </c:pt>
              </c:strCache>
            </c:strRef>
          </c:tx>
          <c:spPr>
            <a:solidFill>
              <a:schemeClr val="accent2"/>
            </a:solidFill>
            <a:ln>
              <a:noFill/>
            </a:ln>
            <a:effectLst/>
          </c:spPr>
          <c:invertIfNegative val="0"/>
          <c:cat>
            <c:strRef>
              <c:f>'Vannbehandling - Resultater'!$B$42</c:f>
              <c:strCache>
                <c:ptCount val="1"/>
                <c:pt idx="0">
                  <c:v>kg CO₂ ekv./år</c:v>
                </c:pt>
              </c:strCache>
            </c:strRef>
          </c:cat>
          <c:val>
            <c:numRef>
              <c:f>'Vannbehandling - Resultater'!$B$44</c:f>
              <c:numCache>
                <c:formatCode>#,##0</c:formatCode>
                <c:ptCount val="1"/>
                <c:pt idx="0">
                  <c:v>0</c:v>
                </c:pt>
              </c:numCache>
            </c:numRef>
          </c:val>
          <c:extLst>
            <c:ext xmlns:c16="http://schemas.microsoft.com/office/drawing/2014/chart" uri="{C3380CC4-5D6E-409C-BE32-E72D297353CC}">
              <c16:uniqueId val="{00000001-E3C6-4B18-B7EB-7E50F5625E3F}"/>
            </c:ext>
          </c:extLst>
        </c:ser>
        <c:ser>
          <c:idx val="2"/>
          <c:order val="2"/>
          <c:tx>
            <c:strRef>
              <c:f>'Vannbehandling - Resultater'!$A$45</c:f>
              <c:strCache>
                <c:ptCount val="1"/>
                <c:pt idx="0">
                  <c:v>Sekundol 70</c:v>
                </c:pt>
              </c:strCache>
            </c:strRef>
          </c:tx>
          <c:spPr>
            <a:solidFill>
              <a:schemeClr val="accent3"/>
            </a:solidFill>
            <a:ln>
              <a:noFill/>
            </a:ln>
            <a:effectLst/>
          </c:spPr>
          <c:invertIfNegative val="0"/>
          <c:cat>
            <c:strRef>
              <c:f>'Vannbehandling - Resultater'!$B$42</c:f>
              <c:strCache>
                <c:ptCount val="1"/>
                <c:pt idx="0">
                  <c:v>kg CO₂ ekv./år</c:v>
                </c:pt>
              </c:strCache>
            </c:strRef>
          </c:cat>
          <c:val>
            <c:numRef>
              <c:f>'Vannbehandling - Resultater'!$B$45</c:f>
              <c:numCache>
                <c:formatCode>#,##0</c:formatCode>
                <c:ptCount val="1"/>
                <c:pt idx="0">
                  <c:v>0</c:v>
                </c:pt>
              </c:numCache>
            </c:numRef>
          </c:val>
          <c:extLst>
            <c:ext xmlns:c16="http://schemas.microsoft.com/office/drawing/2014/chart" uri="{C3380CC4-5D6E-409C-BE32-E72D297353CC}">
              <c16:uniqueId val="{00000002-E3C6-4B18-B7EB-7E50F5625E3F}"/>
            </c:ext>
          </c:extLst>
        </c:ser>
        <c:ser>
          <c:idx val="3"/>
          <c:order val="3"/>
          <c:tx>
            <c:strRef>
              <c:f>'Vannbehandling - Resultater'!$A$46</c:f>
              <c:strCache>
                <c:ptCount val="1"/>
                <c:pt idx="0">
                  <c:v>Sekundol 85</c:v>
                </c:pt>
              </c:strCache>
            </c:strRef>
          </c:tx>
          <c:spPr>
            <a:solidFill>
              <a:schemeClr val="accent4"/>
            </a:solidFill>
            <a:ln>
              <a:noFill/>
            </a:ln>
            <a:effectLst/>
          </c:spPr>
          <c:invertIfNegative val="0"/>
          <c:cat>
            <c:strRef>
              <c:f>'Vannbehandling - Resultater'!$B$42</c:f>
              <c:strCache>
                <c:ptCount val="1"/>
                <c:pt idx="0">
                  <c:v>kg CO₂ ekv./år</c:v>
                </c:pt>
              </c:strCache>
            </c:strRef>
          </c:cat>
          <c:val>
            <c:numRef>
              <c:f>'Vannbehandling - Resultater'!$B$46</c:f>
              <c:numCache>
                <c:formatCode>#,##0</c:formatCode>
                <c:ptCount val="1"/>
                <c:pt idx="0">
                  <c:v>0</c:v>
                </c:pt>
              </c:numCache>
            </c:numRef>
          </c:val>
          <c:extLst>
            <c:ext xmlns:c16="http://schemas.microsoft.com/office/drawing/2014/chart" uri="{C3380CC4-5D6E-409C-BE32-E72D297353CC}">
              <c16:uniqueId val="{00000003-E3C6-4B18-B7EB-7E50F5625E3F}"/>
            </c:ext>
          </c:extLst>
        </c:ser>
        <c:ser>
          <c:idx val="4"/>
          <c:order val="4"/>
          <c:tx>
            <c:strRef>
              <c:f>'Vannbehandling - Resultater'!$A$47</c:f>
              <c:strCache>
                <c:ptCount val="1"/>
                <c:pt idx="0">
                  <c:v>Mosstanol</c:v>
                </c:pt>
              </c:strCache>
            </c:strRef>
          </c:tx>
          <c:spPr>
            <a:solidFill>
              <a:schemeClr val="accent5"/>
            </a:solidFill>
            <a:ln>
              <a:noFill/>
            </a:ln>
            <a:effectLst/>
          </c:spPr>
          <c:invertIfNegative val="0"/>
          <c:cat>
            <c:strRef>
              <c:f>'Vannbehandling - Resultater'!$B$42</c:f>
              <c:strCache>
                <c:ptCount val="1"/>
                <c:pt idx="0">
                  <c:v>kg CO₂ ekv./år</c:v>
                </c:pt>
              </c:strCache>
            </c:strRef>
          </c:cat>
          <c:val>
            <c:numRef>
              <c:f>'Vannbehandling - Resultater'!$B$47</c:f>
              <c:numCache>
                <c:formatCode>#,##0</c:formatCode>
                <c:ptCount val="1"/>
                <c:pt idx="0">
                  <c:v>0</c:v>
                </c:pt>
              </c:numCache>
            </c:numRef>
          </c:val>
          <c:extLst>
            <c:ext xmlns:c16="http://schemas.microsoft.com/office/drawing/2014/chart" uri="{C3380CC4-5D6E-409C-BE32-E72D297353CC}">
              <c16:uniqueId val="{00000004-E3C6-4B18-B7EB-7E50F5625E3F}"/>
            </c:ext>
          </c:extLst>
        </c:ser>
        <c:ser>
          <c:idx val="5"/>
          <c:order val="5"/>
          <c:tx>
            <c:strRef>
              <c:f>'Vannbehandling - Resultater'!$A$48</c:f>
              <c:strCache>
                <c:ptCount val="1"/>
                <c:pt idx="0">
                  <c:v>Eddiksyre</c:v>
                </c:pt>
              </c:strCache>
            </c:strRef>
          </c:tx>
          <c:spPr>
            <a:solidFill>
              <a:schemeClr val="accent6"/>
            </a:solidFill>
            <a:ln>
              <a:noFill/>
            </a:ln>
            <a:effectLst/>
          </c:spPr>
          <c:invertIfNegative val="0"/>
          <c:cat>
            <c:strRef>
              <c:f>'Vannbehandling - Resultater'!$B$42</c:f>
              <c:strCache>
                <c:ptCount val="1"/>
                <c:pt idx="0">
                  <c:v>kg CO₂ ekv./år</c:v>
                </c:pt>
              </c:strCache>
            </c:strRef>
          </c:cat>
          <c:val>
            <c:numRef>
              <c:f>'Vannbehandling - Resultater'!$B$48</c:f>
              <c:numCache>
                <c:formatCode>#,##0</c:formatCode>
                <c:ptCount val="1"/>
                <c:pt idx="0">
                  <c:v>0</c:v>
                </c:pt>
              </c:numCache>
            </c:numRef>
          </c:val>
          <c:extLst>
            <c:ext xmlns:c16="http://schemas.microsoft.com/office/drawing/2014/chart" uri="{C3380CC4-5D6E-409C-BE32-E72D297353CC}">
              <c16:uniqueId val="{00000005-E3C6-4B18-B7EB-7E50F5625E3F}"/>
            </c:ext>
          </c:extLst>
        </c:ser>
        <c:ser>
          <c:idx val="6"/>
          <c:order val="6"/>
          <c:tx>
            <c:strRef>
              <c:f>'Vannbehandling - Resultater'!$A$49</c:f>
              <c:strCache>
                <c:ptCount val="1"/>
                <c:pt idx="0">
                  <c:v>Glyserin</c:v>
                </c:pt>
              </c:strCache>
            </c:strRef>
          </c:tx>
          <c:spPr>
            <a:solidFill>
              <a:schemeClr val="accent1">
                <a:lumMod val="60000"/>
              </a:schemeClr>
            </a:solidFill>
            <a:ln>
              <a:noFill/>
            </a:ln>
            <a:effectLst/>
          </c:spPr>
          <c:invertIfNegative val="0"/>
          <c:cat>
            <c:strRef>
              <c:f>'Vannbehandling - Resultater'!$B$42</c:f>
              <c:strCache>
                <c:ptCount val="1"/>
                <c:pt idx="0">
                  <c:v>kg CO₂ ekv./år</c:v>
                </c:pt>
              </c:strCache>
            </c:strRef>
          </c:cat>
          <c:val>
            <c:numRef>
              <c:f>'Vannbehandling - Resultater'!$B$49</c:f>
              <c:numCache>
                <c:formatCode>#,##0</c:formatCode>
                <c:ptCount val="1"/>
                <c:pt idx="0">
                  <c:v>0</c:v>
                </c:pt>
              </c:numCache>
            </c:numRef>
          </c:val>
          <c:extLst>
            <c:ext xmlns:c16="http://schemas.microsoft.com/office/drawing/2014/chart" uri="{C3380CC4-5D6E-409C-BE32-E72D297353CC}">
              <c16:uniqueId val="{00000006-E3C6-4B18-B7EB-7E50F5625E3F}"/>
            </c:ext>
          </c:extLst>
        </c:ser>
        <c:dLbls>
          <c:showLegendKey val="0"/>
          <c:showVal val="0"/>
          <c:showCatName val="0"/>
          <c:showSerName val="0"/>
          <c:showPercent val="0"/>
          <c:showBubbleSize val="0"/>
        </c:dLbls>
        <c:gapWidth val="150"/>
        <c:overlap val="100"/>
        <c:axId val="662568040"/>
        <c:axId val="662569680"/>
      </c:barChart>
      <c:catAx>
        <c:axId val="662568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9680"/>
        <c:crosses val="autoZero"/>
        <c:auto val="1"/>
        <c:lblAlgn val="ctr"/>
        <c:lblOffset val="100"/>
        <c:noMultiLvlLbl val="0"/>
      </c:catAx>
      <c:valAx>
        <c:axId val="6625696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8040"/>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b="1"/>
              <a:t>Vann</a:t>
            </a:r>
            <a:r>
              <a:rPr lang="nb-NO" b="1" baseline="0"/>
              <a:t> og Avløpsbehandling - Spesifisert fotavtrykk drift av anleggene</a:t>
            </a:r>
            <a:endParaRPr lang="nb-NO"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9.8279312964572638E-2"/>
          <c:y val="0.20102981029810299"/>
          <c:w val="0.56077785961808535"/>
          <c:h val="0.67323432131959116"/>
        </c:manualLayout>
      </c:layout>
      <c:barChart>
        <c:barDir val="col"/>
        <c:grouping val="stacked"/>
        <c:varyColors val="0"/>
        <c:ser>
          <c:idx val="0"/>
          <c:order val="0"/>
          <c:tx>
            <c:strRef>
              <c:f>'Sammendrag klimaregnskap'!$A$47</c:f>
              <c:strCache>
                <c:ptCount val="1"/>
                <c:pt idx="0">
                  <c:v>Energi</c:v>
                </c:pt>
              </c:strCache>
            </c:strRef>
          </c:tx>
          <c:spPr>
            <a:solidFill>
              <a:schemeClr val="accent1"/>
            </a:solidFill>
            <a:ln>
              <a:noFill/>
            </a:ln>
            <a:effectLst/>
          </c:spPr>
          <c:invertIfNegative val="0"/>
          <c:cat>
            <c:strRef>
              <c:f>'Sammendrag klimaregnskap'!$C$46:$D$46</c:f>
              <c:strCache>
                <c:ptCount val="2"/>
                <c:pt idx="0">
                  <c:v>Produksjon
av vann</c:v>
                </c:pt>
                <c:pt idx="1">
                  <c:v>Avløpsrensing
og slam</c:v>
                </c:pt>
              </c:strCache>
            </c:strRef>
          </c:cat>
          <c:val>
            <c:numRef>
              <c:f>'Sammendrag klimaregnskap'!$C$47:$D$47</c:f>
              <c:numCache>
                <c:formatCode>#,##0</c:formatCode>
                <c:ptCount val="2"/>
                <c:pt idx="0">
                  <c:v>0</c:v>
                </c:pt>
                <c:pt idx="1">
                  <c:v>0</c:v>
                </c:pt>
              </c:numCache>
            </c:numRef>
          </c:val>
          <c:extLst>
            <c:ext xmlns:c16="http://schemas.microsoft.com/office/drawing/2014/chart" uri="{C3380CC4-5D6E-409C-BE32-E72D297353CC}">
              <c16:uniqueId val="{00000000-717E-4685-8BCF-BEBBA1B421ED}"/>
            </c:ext>
          </c:extLst>
        </c:ser>
        <c:ser>
          <c:idx val="2"/>
          <c:order val="1"/>
          <c:tx>
            <c:strRef>
              <c:f>'Sammendrag klimaregnskap'!$A$48</c:f>
              <c:strCache>
                <c:ptCount val="1"/>
                <c:pt idx="0">
                  <c:v>Filtermasser forbruk rensing</c:v>
                </c:pt>
              </c:strCache>
            </c:strRef>
          </c:tx>
          <c:spPr>
            <a:solidFill>
              <a:schemeClr val="accent3"/>
            </a:solidFill>
            <a:ln>
              <a:noFill/>
            </a:ln>
            <a:effectLst/>
          </c:spPr>
          <c:invertIfNegative val="0"/>
          <c:cat>
            <c:strRef>
              <c:f>'Sammendrag klimaregnskap'!$C$46:$D$46</c:f>
              <c:strCache>
                <c:ptCount val="2"/>
                <c:pt idx="0">
                  <c:v>Produksjon
av vann</c:v>
                </c:pt>
                <c:pt idx="1">
                  <c:v>Avløpsrensing
og slam</c:v>
                </c:pt>
              </c:strCache>
            </c:strRef>
          </c:cat>
          <c:val>
            <c:numRef>
              <c:f>'Sammendrag klimaregnskap'!$C$48:$D$48</c:f>
              <c:numCache>
                <c:formatCode>#,##0</c:formatCode>
                <c:ptCount val="2"/>
                <c:pt idx="0">
                  <c:v>0</c:v>
                </c:pt>
                <c:pt idx="1">
                  <c:v>0</c:v>
                </c:pt>
              </c:numCache>
            </c:numRef>
          </c:val>
          <c:extLst>
            <c:ext xmlns:c16="http://schemas.microsoft.com/office/drawing/2014/chart" uri="{C3380CC4-5D6E-409C-BE32-E72D297353CC}">
              <c16:uniqueId val="{00000002-717E-4685-8BCF-BEBBA1B421ED}"/>
            </c:ext>
          </c:extLst>
        </c:ser>
        <c:ser>
          <c:idx val="3"/>
          <c:order val="2"/>
          <c:tx>
            <c:strRef>
              <c:f>'Sammendrag klimaregnskap'!$A$49</c:f>
              <c:strCache>
                <c:ptCount val="1"/>
                <c:pt idx="0">
                  <c:v>Kjemikalier – Felling</c:v>
                </c:pt>
              </c:strCache>
            </c:strRef>
          </c:tx>
          <c:spPr>
            <a:solidFill>
              <a:schemeClr val="accent4"/>
            </a:solidFill>
            <a:ln>
              <a:noFill/>
            </a:ln>
            <a:effectLst/>
          </c:spPr>
          <c:invertIfNegative val="0"/>
          <c:cat>
            <c:strRef>
              <c:f>'Sammendrag klimaregnskap'!$C$46:$D$46</c:f>
              <c:strCache>
                <c:ptCount val="2"/>
                <c:pt idx="0">
                  <c:v>Produksjon
av vann</c:v>
                </c:pt>
                <c:pt idx="1">
                  <c:v>Avløpsrensing
og slam</c:v>
                </c:pt>
              </c:strCache>
            </c:strRef>
          </c:cat>
          <c:val>
            <c:numRef>
              <c:f>'Sammendrag klimaregnskap'!$C$49:$D$49</c:f>
              <c:numCache>
                <c:formatCode>#,##0</c:formatCode>
                <c:ptCount val="2"/>
                <c:pt idx="0">
                  <c:v>0</c:v>
                </c:pt>
                <c:pt idx="1">
                  <c:v>0</c:v>
                </c:pt>
              </c:numCache>
            </c:numRef>
          </c:val>
          <c:extLst>
            <c:ext xmlns:c16="http://schemas.microsoft.com/office/drawing/2014/chart" uri="{C3380CC4-5D6E-409C-BE32-E72D297353CC}">
              <c16:uniqueId val="{00000003-717E-4685-8BCF-BEBBA1B421ED}"/>
            </c:ext>
          </c:extLst>
        </c:ser>
        <c:ser>
          <c:idx val="4"/>
          <c:order val="3"/>
          <c:tx>
            <c:strRef>
              <c:f>'Sammendrag klimaregnskap'!$A$50</c:f>
              <c:strCache>
                <c:ptCount val="1"/>
                <c:pt idx="0">
                  <c:v>Karbonkilder</c:v>
                </c:pt>
              </c:strCache>
            </c:strRef>
          </c:tx>
          <c:spPr>
            <a:solidFill>
              <a:schemeClr val="accent5"/>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klimaregnskap'!$C$50:$D$50</c:f>
              <c:numCache>
                <c:formatCode>#,##0</c:formatCode>
                <c:ptCount val="2"/>
                <c:pt idx="0">
                  <c:v>0</c:v>
                </c:pt>
                <c:pt idx="1">
                  <c:v>0</c:v>
                </c:pt>
              </c:numCache>
            </c:numRef>
          </c:val>
          <c:extLst>
            <c:ext xmlns:c16="http://schemas.microsoft.com/office/drawing/2014/chart" uri="{C3380CC4-5D6E-409C-BE32-E72D297353CC}">
              <c16:uniqueId val="{00000004-717E-4685-8BCF-BEBBA1B421ED}"/>
            </c:ext>
          </c:extLst>
        </c:ser>
        <c:ser>
          <c:idx val="5"/>
          <c:order val="4"/>
          <c:tx>
            <c:strRef>
              <c:f>'Sammendrag klimaregnskap'!$A$51</c:f>
              <c:strCache>
                <c:ptCount val="1"/>
                <c:pt idx="0">
                  <c:v>Kjemikalier – pH-justering/korrosjonskontroll</c:v>
                </c:pt>
              </c:strCache>
            </c:strRef>
          </c:tx>
          <c:spPr>
            <a:solidFill>
              <a:schemeClr val="accent6"/>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klimaregnskap'!$C$51:$D$51</c:f>
              <c:numCache>
                <c:formatCode>#,##0</c:formatCode>
                <c:ptCount val="2"/>
                <c:pt idx="0">
                  <c:v>0</c:v>
                </c:pt>
                <c:pt idx="1">
                  <c:v>0</c:v>
                </c:pt>
              </c:numCache>
            </c:numRef>
          </c:val>
          <c:extLst>
            <c:ext xmlns:c16="http://schemas.microsoft.com/office/drawing/2014/chart" uri="{C3380CC4-5D6E-409C-BE32-E72D297353CC}">
              <c16:uniqueId val="{00000005-717E-4685-8BCF-BEBBA1B421ED}"/>
            </c:ext>
          </c:extLst>
        </c:ser>
        <c:ser>
          <c:idx val="6"/>
          <c:order val="5"/>
          <c:tx>
            <c:strRef>
              <c:f>'Sammendrag klimaregnskap'!$A$52</c:f>
              <c:strCache>
                <c:ptCount val="1"/>
                <c:pt idx="0">
                  <c:v>Andre kjemikalier</c:v>
                </c:pt>
              </c:strCache>
            </c:strRef>
          </c:tx>
          <c:spPr>
            <a:solidFill>
              <a:schemeClr val="accent1">
                <a:lumMod val="60000"/>
              </a:schemeClr>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klimaregnskap'!$C$52:$D$52</c:f>
              <c:numCache>
                <c:formatCode>#,##0</c:formatCode>
                <c:ptCount val="2"/>
                <c:pt idx="0">
                  <c:v>0</c:v>
                </c:pt>
                <c:pt idx="1">
                  <c:v>0</c:v>
                </c:pt>
              </c:numCache>
            </c:numRef>
          </c:val>
          <c:extLst>
            <c:ext xmlns:c16="http://schemas.microsoft.com/office/drawing/2014/chart" uri="{C3380CC4-5D6E-409C-BE32-E72D297353CC}">
              <c16:uniqueId val="{00000006-717E-4685-8BCF-BEBBA1B421ED}"/>
            </c:ext>
          </c:extLst>
        </c:ser>
        <c:ser>
          <c:idx val="7"/>
          <c:order val="6"/>
          <c:tx>
            <c:strRef>
              <c:f>'Sammendrag klimaregnskap'!$A$53</c:f>
              <c:strCache>
                <c:ptCount val="1"/>
                <c:pt idx="0">
                  <c:v>Transport av kjemikalier</c:v>
                </c:pt>
              </c:strCache>
            </c:strRef>
          </c:tx>
          <c:spPr>
            <a:solidFill>
              <a:schemeClr val="accent2">
                <a:lumMod val="60000"/>
              </a:schemeClr>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klimaregnskap'!$C$53:$D$53</c:f>
              <c:numCache>
                <c:formatCode>#,##0</c:formatCode>
                <c:ptCount val="2"/>
                <c:pt idx="0">
                  <c:v>0</c:v>
                </c:pt>
                <c:pt idx="1">
                  <c:v>0</c:v>
                </c:pt>
              </c:numCache>
            </c:numRef>
          </c:val>
          <c:extLst>
            <c:ext xmlns:c16="http://schemas.microsoft.com/office/drawing/2014/chart" uri="{C3380CC4-5D6E-409C-BE32-E72D297353CC}">
              <c16:uniqueId val="{00000007-717E-4685-8BCF-BEBBA1B421ED}"/>
            </c:ext>
          </c:extLst>
        </c:ser>
        <c:ser>
          <c:idx val="8"/>
          <c:order val="7"/>
          <c:tx>
            <c:strRef>
              <c:f>'Sammendrag klimaregnskap'!$A$55</c:f>
              <c:strCache>
                <c:ptCount val="1"/>
                <c:pt idx="0">
                  <c:v>Metan og lystgassutslipp</c:v>
                </c:pt>
              </c:strCache>
            </c:strRef>
          </c:tx>
          <c:spPr>
            <a:solidFill>
              <a:schemeClr val="accent3">
                <a:lumMod val="60000"/>
              </a:schemeClr>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klimaregnskap'!$C$55:$D$55</c:f>
              <c:numCache>
                <c:formatCode>#,##0</c:formatCode>
                <c:ptCount val="2"/>
                <c:pt idx="1">
                  <c:v>0</c:v>
                </c:pt>
              </c:numCache>
            </c:numRef>
          </c:val>
          <c:extLst>
            <c:ext xmlns:c16="http://schemas.microsoft.com/office/drawing/2014/chart" uri="{C3380CC4-5D6E-409C-BE32-E72D297353CC}">
              <c16:uniqueId val="{00000008-717E-4685-8BCF-BEBBA1B421ED}"/>
            </c:ext>
          </c:extLst>
        </c:ser>
        <c:dLbls>
          <c:showLegendKey val="0"/>
          <c:showVal val="0"/>
          <c:showCatName val="0"/>
          <c:showSerName val="0"/>
          <c:showPercent val="0"/>
          <c:showBubbleSize val="0"/>
        </c:dLbls>
        <c:gapWidth val="150"/>
        <c:overlap val="100"/>
        <c:axId val="1433051152"/>
        <c:axId val="1433043280"/>
      </c:barChart>
      <c:catAx>
        <c:axId val="14330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43280"/>
        <c:crosses val="autoZero"/>
        <c:auto val="1"/>
        <c:lblAlgn val="ctr"/>
        <c:lblOffset val="100"/>
        <c:noMultiLvlLbl val="0"/>
      </c:catAx>
      <c:valAx>
        <c:axId val="1433043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 CO2 ekv./år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51152"/>
        <c:crosses val="autoZero"/>
        <c:crossBetween val="between"/>
      </c:valAx>
      <c:spPr>
        <a:solidFill>
          <a:schemeClr val="bg1">
            <a:lumMod val="95000"/>
          </a:schemeClr>
        </a:solidFill>
        <a:ln>
          <a:noFill/>
        </a:ln>
        <a:effectLst/>
      </c:spPr>
    </c:plotArea>
    <c:legend>
      <c:legendPos val="r"/>
      <c:layout>
        <c:manualLayout>
          <c:xMode val="edge"/>
          <c:yMode val="edge"/>
          <c:x val="0.68234510515488556"/>
          <c:y val="0.13257324142893351"/>
          <c:w val="0.30627509399162944"/>
          <c:h val="0.7933786314093915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accent1">
        <a:lumMod val="40000"/>
        <a:lumOff val="60000"/>
      </a:schemeClr>
    </a:solidFill>
    <a:ln w="9525" cap="flat" cmpd="sng" algn="ctr">
      <a:noFill/>
      <a:round/>
    </a:ln>
    <a:effectLst/>
  </c:spPr>
  <c:txPr>
    <a:bodyPr/>
    <a:lstStyle/>
    <a:p>
      <a:pPr>
        <a:defRPr/>
      </a:pPr>
      <a:endParaRPr lang="nb-NO"/>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483803265400649"/>
          <c:y val="9.0984284532671628E-2"/>
          <c:w val="0.72753034776902892"/>
          <c:h val="0.34629517464163134"/>
        </c:manualLayout>
      </c:layout>
      <c:barChart>
        <c:barDir val="bar"/>
        <c:grouping val="percentStacked"/>
        <c:varyColors val="0"/>
        <c:ser>
          <c:idx val="0"/>
          <c:order val="0"/>
          <c:tx>
            <c:strRef>
              <c:f>'Vannbehandling - Resultater'!$A$52</c:f>
              <c:strCache>
                <c:ptCount val="1"/>
                <c:pt idx="0">
                  <c:v>Brent kalk (CaO)</c:v>
                </c:pt>
              </c:strCache>
            </c:strRef>
          </c:tx>
          <c:spPr>
            <a:solidFill>
              <a:schemeClr val="accent1"/>
            </a:solidFill>
            <a:ln>
              <a:noFill/>
            </a:ln>
            <a:effectLst/>
          </c:spPr>
          <c:invertIfNegative val="0"/>
          <c:cat>
            <c:strRef>
              <c:f>'Vannbehandling - Resultater'!$B$51</c:f>
              <c:strCache>
                <c:ptCount val="1"/>
                <c:pt idx="0">
                  <c:v>kg CO₂ ekv./år</c:v>
                </c:pt>
              </c:strCache>
            </c:strRef>
          </c:cat>
          <c:val>
            <c:numRef>
              <c:f>'Vannbehandling - Resultater'!$B$52</c:f>
              <c:numCache>
                <c:formatCode>#,##0</c:formatCode>
                <c:ptCount val="1"/>
                <c:pt idx="0">
                  <c:v>0</c:v>
                </c:pt>
              </c:numCache>
            </c:numRef>
          </c:val>
          <c:extLst>
            <c:ext xmlns:c16="http://schemas.microsoft.com/office/drawing/2014/chart" uri="{C3380CC4-5D6E-409C-BE32-E72D297353CC}">
              <c16:uniqueId val="{00000000-98D2-4A02-9467-816CB2280334}"/>
            </c:ext>
          </c:extLst>
        </c:ser>
        <c:ser>
          <c:idx val="1"/>
          <c:order val="1"/>
          <c:tx>
            <c:strRef>
              <c:f>'Vannbehandling - Resultater'!$A$53</c:f>
              <c:strCache>
                <c:ptCount val="1"/>
                <c:pt idx="0">
                  <c:v>Lesket kalk, Ca(OH)2</c:v>
                </c:pt>
              </c:strCache>
            </c:strRef>
          </c:tx>
          <c:spPr>
            <a:solidFill>
              <a:schemeClr val="accent2"/>
            </a:solidFill>
            <a:ln>
              <a:noFill/>
            </a:ln>
            <a:effectLst/>
          </c:spPr>
          <c:invertIfNegative val="0"/>
          <c:cat>
            <c:strRef>
              <c:f>'Vannbehandling - Resultater'!$B$51</c:f>
              <c:strCache>
                <c:ptCount val="1"/>
                <c:pt idx="0">
                  <c:v>kg CO₂ ekv./år</c:v>
                </c:pt>
              </c:strCache>
            </c:strRef>
          </c:cat>
          <c:val>
            <c:numRef>
              <c:f>'Vannbehandling - Resultater'!$B$53</c:f>
              <c:numCache>
                <c:formatCode>#,##0</c:formatCode>
                <c:ptCount val="1"/>
                <c:pt idx="0">
                  <c:v>0</c:v>
                </c:pt>
              </c:numCache>
            </c:numRef>
          </c:val>
          <c:extLst>
            <c:ext xmlns:c16="http://schemas.microsoft.com/office/drawing/2014/chart" uri="{C3380CC4-5D6E-409C-BE32-E72D297353CC}">
              <c16:uniqueId val="{00000001-98D2-4A02-9467-816CB2280334}"/>
            </c:ext>
          </c:extLst>
        </c:ser>
        <c:ser>
          <c:idx val="2"/>
          <c:order val="2"/>
          <c:tx>
            <c:strRef>
              <c:f>'Vannbehandling - Resultater'!$A$54</c:f>
              <c:strCache>
                <c:ptCount val="1"/>
                <c:pt idx="0">
                  <c:v>Kalsiumkarbonat, CaCO3</c:v>
                </c:pt>
              </c:strCache>
            </c:strRef>
          </c:tx>
          <c:spPr>
            <a:solidFill>
              <a:schemeClr val="accent3"/>
            </a:solidFill>
            <a:ln>
              <a:noFill/>
            </a:ln>
            <a:effectLst/>
          </c:spPr>
          <c:invertIfNegative val="0"/>
          <c:cat>
            <c:strRef>
              <c:f>'Vannbehandling - Resultater'!$B$51</c:f>
              <c:strCache>
                <c:ptCount val="1"/>
                <c:pt idx="0">
                  <c:v>kg CO₂ ekv./år</c:v>
                </c:pt>
              </c:strCache>
            </c:strRef>
          </c:cat>
          <c:val>
            <c:numRef>
              <c:f>'Vannbehandling - Resultater'!$B$54</c:f>
              <c:numCache>
                <c:formatCode>#,##0</c:formatCode>
                <c:ptCount val="1"/>
                <c:pt idx="0">
                  <c:v>0</c:v>
                </c:pt>
              </c:numCache>
            </c:numRef>
          </c:val>
          <c:extLst>
            <c:ext xmlns:c16="http://schemas.microsoft.com/office/drawing/2014/chart" uri="{C3380CC4-5D6E-409C-BE32-E72D297353CC}">
              <c16:uniqueId val="{00000002-98D2-4A02-9467-816CB2280334}"/>
            </c:ext>
          </c:extLst>
        </c:ser>
        <c:ser>
          <c:idx val="3"/>
          <c:order val="3"/>
          <c:tx>
            <c:strRef>
              <c:f>'Vannbehandling - Resultater'!$A$55</c:f>
              <c:strCache>
                <c:ptCount val="1"/>
                <c:pt idx="0">
                  <c:v>Natriumhydroksid, NaOH 50%</c:v>
                </c:pt>
              </c:strCache>
            </c:strRef>
          </c:tx>
          <c:spPr>
            <a:solidFill>
              <a:schemeClr val="accent4"/>
            </a:solidFill>
            <a:ln>
              <a:noFill/>
            </a:ln>
            <a:effectLst/>
          </c:spPr>
          <c:invertIfNegative val="0"/>
          <c:cat>
            <c:strRef>
              <c:f>'Vannbehandling - Resultater'!$B$51</c:f>
              <c:strCache>
                <c:ptCount val="1"/>
                <c:pt idx="0">
                  <c:v>kg CO₂ ekv./år</c:v>
                </c:pt>
              </c:strCache>
            </c:strRef>
          </c:cat>
          <c:val>
            <c:numRef>
              <c:f>'Vannbehandling - Resultater'!$B$55</c:f>
              <c:numCache>
                <c:formatCode>#,##0</c:formatCode>
                <c:ptCount val="1"/>
                <c:pt idx="0">
                  <c:v>0</c:v>
                </c:pt>
              </c:numCache>
            </c:numRef>
          </c:val>
          <c:extLst>
            <c:ext xmlns:c16="http://schemas.microsoft.com/office/drawing/2014/chart" uri="{C3380CC4-5D6E-409C-BE32-E72D297353CC}">
              <c16:uniqueId val="{00000003-98D2-4A02-9467-816CB2280334}"/>
            </c:ext>
          </c:extLst>
        </c:ser>
        <c:ser>
          <c:idx val="4"/>
          <c:order val="4"/>
          <c:tx>
            <c:strRef>
              <c:f>'Vannbehandling - Resultater'!$A$56</c:f>
              <c:strCache>
                <c:ptCount val="1"/>
                <c:pt idx="0">
                  <c:v>Natriumhydroksid, NaOH 30%</c:v>
                </c:pt>
              </c:strCache>
            </c:strRef>
          </c:tx>
          <c:spPr>
            <a:solidFill>
              <a:schemeClr val="accent5"/>
            </a:solidFill>
            <a:ln>
              <a:noFill/>
            </a:ln>
            <a:effectLst/>
          </c:spPr>
          <c:invertIfNegative val="0"/>
          <c:cat>
            <c:strRef>
              <c:f>'Vannbehandling - Resultater'!$B$51</c:f>
              <c:strCache>
                <c:ptCount val="1"/>
                <c:pt idx="0">
                  <c:v>kg CO₂ ekv./år</c:v>
                </c:pt>
              </c:strCache>
            </c:strRef>
          </c:cat>
          <c:val>
            <c:numRef>
              <c:f>'Vannbehandling - Resultater'!$B$56</c:f>
              <c:numCache>
                <c:formatCode>#,##0</c:formatCode>
                <c:ptCount val="1"/>
                <c:pt idx="0">
                  <c:v>0</c:v>
                </c:pt>
              </c:numCache>
            </c:numRef>
          </c:val>
          <c:extLst>
            <c:ext xmlns:c16="http://schemas.microsoft.com/office/drawing/2014/chart" uri="{C3380CC4-5D6E-409C-BE32-E72D297353CC}">
              <c16:uniqueId val="{00000000-DA5B-4D35-910D-F82AE0D30460}"/>
            </c:ext>
          </c:extLst>
        </c:ser>
        <c:dLbls>
          <c:showLegendKey val="0"/>
          <c:showVal val="0"/>
          <c:showCatName val="0"/>
          <c:showSerName val="0"/>
          <c:showPercent val="0"/>
          <c:showBubbleSize val="0"/>
        </c:dLbls>
        <c:gapWidth val="150"/>
        <c:overlap val="100"/>
        <c:axId val="753773056"/>
        <c:axId val="753773384"/>
      </c:barChart>
      <c:catAx>
        <c:axId val="75377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384"/>
        <c:crosses val="autoZero"/>
        <c:auto val="1"/>
        <c:lblAlgn val="ctr"/>
        <c:lblOffset val="100"/>
        <c:noMultiLvlLbl val="0"/>
      </c:catAx>
      <c:valAx>
        <c:axId val="753773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056"/>
        <c:crosses val="autoZero"/>
        <c:crossBetween val="between"/>
      </c:valAx>
      <c:spPr>
        <a:solidFill>
          <a:schemeClr val="bg2"/>
        </a:solidFill>
        <a:ln>
          <a:noFill/>
        </a:ln>
        <a:effectLst/>
      </c:spPr>
    </c:plotArea>
    <c:legend>
      <c:legendPos val="b"/>
      <c:layout>
        <c:manualLayout>
          <c:xMode val="edge"/>
          <c:yMode val="edge"/>
          <c:x val="6.1467982862436307E-2"/>
          <c:y val="0.63847195899519993"/>
          <c:w val="0.66136977975792244"/>
          <c:h val="0.36152836664647686"/>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Resultater'!$A$59</c:f>
              <c:strCache>
                <c:ptCount val="1"/>
                <c:pt idx="0">
                  <c:v>Ammoniakk (NH3)</c:v>
                </c:pt>
              </c:strCache>
            </c:strRef>
          </c:tx>
          <c:spPr>
            <a:solidFill>
              <a:schemeClr val="accent1"/>
            </a:solidFill>
            <a:ln>
              <a:noFill/>
            </a:ln>
            <a:effectLst/>
          </c:spPr>
          <c:invertIfNegative val="0"/>
          <c:cat>
            <c:strRef>
              <c:f>'Vannbehandling - Resultater'!$B$58</c:f>
              <c:strCache>
                <c:ptCount val="1"/>
                <c:pt idx="0">
                  <c:v>kg CO₂ ekv./år</c:v>
                </c:pt>
              </c:strCache>
            </c:strRef>
          </c:cat>
          <c:val>
            <c:numRef>
              <c:f>'Vannbehandling - Resultater'!$B$59</c:f>
              <c:numCache>
                <c:formatCode>#,##0</c:formatCode>
                <c:ptCount val="1"/>
                <c:pt idx="0">
                  <c:v>0</c:v>
                </c:pt>
              </c:numCache>
            </c:numRef>
          </c:val>
          <c:extLst>
            <c:ext xmlns:c16="http://schemas.microsoft.com/office/drawing/2014/chart" uri="{C3380CC4-5D6E-409C-BE32-E72D297353CC}">
              <c16:uniqueId val="{00000000-C2DA-4BF2-BD7E-304B8F1FAE3C}"/>
            </c:ext>
          </c:extLst>
        </c:ser>
        <c:ser>
          <c:idx val="1"/>
          <c:order val="1"/>
          <c:tx>
            <c:strRef>
              <c:f>'Vannbehandling - Resultater'!$A$60</c:f>
              <c:strCache>
                <c:ptCount val="1"/>
                <c:pt idx="0">
                  <c:v>Aktivt kull - biogen opprinnelse</c:v>
                </c:pt>
              </c:strCache>
            </c:strRef>
          </c:tx>
          <c:spPr>
            <a:solidFill>
              <a:schemeClr val="accent2"/>
            </a:solidFill>
            <a:ln>
              <a:noFill/>
            </a:ln>
            <a:effectLst/>
          </c:spPr>
          <c:invertIfNegative val="0"/>
          <c:cat>
            <c:strRef>
              <c:f>'Vannbehandling - Resultater'!$B$58</c:f>
              <c:strCache>
                <c:ptCount val="1"/>
                <c:pt idx="0">
                  <c:v>kg CO₂ ekv./år</c:v>
                </c:pt>
              </c:strCache>
            </c:strRef>
          </c:cat>
          <c:val>
            <c:numRef>
              <c:f>'Vannbehandling - Resultater'!$B$60</c:f>
              <c:numCache>
                <c:formatCode>#,##0</c:formatCode>
                <c:ptCount val="1"/>
                <c:pt idx="0">
                  <c:v>0</c:v>
                </c:pt>
              </c:numCache>
            </c:numRef>
          </c:val>
          <c:extLst>
            <c:ext xmlns:c16="http://schemas.microsoft.com/office/drawing/2014/chart" uri="{C3380CC4-5D6E-409C-BE32-E72D297353CC}">
              <c16:uniqueId val="{00000001-C2DA-4BF2-BD7E-304B8F1FAE3C}"/>
            </c:ext>
          </c:extLst>
        </c:ser>
        <c:ser>
          <c:idx val="2"/>
          <c:order val="2"/>
          <c:tx>
            <c:strRef>
              <c:f>'Vannbehandling - Resultater'!$A$61</c:f>
              <c:strCache>
                <c:ptCount val="1"/>
                <c:pt idx="0">
                  <c:v>Aktivt kull - fossil opprinnelse</c:v>
                </c:pt>
              </c:strCache>
            </c:strRef>
          </c:tx>
          <c:spPr>
            <a:solidFill>
              <a:schemeClr val="accent3"/>
            </a:solidFill>
            <a:ln>
              <a:noFill/>
            </a:ln>
            <a:effectLst/>
          </c:spPr>
          <c:invertIfNegative val="0"/>
          <c:cat>
            <c:strRef>
              <c:f>'Vannbehandling - Resultater'!$B$58</c:f>
              <c:strCache>
                <c:ptCount val="1"/>
                <c:pt idx="0">
                  <c:v>kg CO₂ ekv./år</c:v>
                </c:pt>
              </c:strCache>
            </c:strRef>
          </c:cat>
          <c:val>
            <c:numRef>
              <c:f>'Vannbehandling - Resultater'!$B$61</c:f>
              <c:numCache>
                <c:formatCode>#,##0</c:formatCode>
                <c:ptCount val="1"/>
                <c:pt idx="0">
                  <c:v>0</c:v>
                </c:pt>
              </c:numCache>
            </c:numRef>
          </c:val>
          <c:extLst>
            <c:ext xmlns:c16="http://schemas.microsoft.com/office/drawing/2014/chart" uri="{C3380CC4-5D6E-409C-BE32-E72D297353CC}">
              <c16:uniqueId val="{00000002-C2DA-4BF2-BD7E-304B8F1FAE3C}"/>
            </c:ext>
          </c:extLst>
        </c:ser>
        <c:ser>
          <c:idx val="3"/>
          <c:order val="3"/>
          <c:tx>
            <c:strRef>
              <c:f>'Vannbehandling - Resultater'!$A$62</c:f>
              <c:strCache>
                <c:ptCount val="1"/>
                <c:pt idx="0">
                  <c:v>Aktivt kull - regenerert</c:v>
                </c:pt>
              </c:strCache>
            </c:strRef>
          </c:tx>
          <c:spPr>
            <a:solidFill>
              <a:schemeClr val="accent4"/>
            </a:solidFill>
            <a:ln>
              <a:noFill/>
            </a:ln>
            <a:effectLst/>
          </c:spPr>
          <c:invertIfNegative val="0"/>
          <c:cat>
            <c:strRef>
              <c:f>'Vannbehandling - Resultater'!$B$58</c:f>
              <c:strCache>
                <c:ptCount val="1"/>
                <c:pt idx="0">
                  <c:v>kg CO₂ ekv./år</c:v>
                </c:pt>
              </c:strCache>
            </c:strRef>
          </c:cat>
          <c:val>
            <c:numRef>
              <c:f>'Vannbehandling - Resultater'!$B$62</c:f>
              <c:numCache>
                <c:formatCode>#,##0</c:formatCode>
                <c:ptCount val="1"/>
                <c:pt idx="0">
                  <c:v>0</c:v>
                </c:pt>
              </c:numCache>
            </c:numRef>
          </c:val>
          <c:extLst>
            <c:ext xmlns:c16="http://schemas.microsoft.com/office/drawing/2014/chart" uri="{C3380CC4-5D6E-409C-BE32-E72D297353CC}">
              <c16:uniqueId val="{00000003-C2DA-4BF2-BD7E-304B8F1FAE3C}"/>
            </c:ext>
          </c:extLst>
        </c:ser>
        <c:ser>
          <c:idx val="4"/>
          <c:order val="4"/>
          <c:tx>
            <c:strRef>
              <c:f>'Vannbehandling - Resultater'!$A$63</c:f>
              <c:strCache>
                <c:ptCount val="1"/>
                <c:pt idx="0">
                  <c:v>Sitronsyre</c:v>
                </c:pt>
              </c:strCache>
            </c:strRef>
          </c:tx>
          <c:spPr>
            <a:solidFill>
              <a:schemeClr val="accent5"/>
            </a:solidFill>
            <a:ln>
              <a:noFill/>
            </a:ln>
            <a:effectLst/>
          </c:spPr>
          <c:invertIfNegative val="0"/>
          <c:cat>
            <c:strRef>
              <c:f>'Vannbehandling - Resultater'!$B$58</c:f>
              <c:strCache>
                <c:ptCount val="1"/>
                <c:pt idx="0">
                  <c:v>kg CO₂ ekv./år</c:v>
                </c:pt>
              </c:strCache>
            </c:strRef>
          </c:cat>
          <c:val>
            <c:numRef>
              <c:f>'Vannbehandling - Resultater'!$B$63</c:f>
              <c:numCache>
                <c:formatCode>#,##0</c:formatCode>
                <c:ptCount val="1"/>
                <c:pt idx="0">
                  <c:v>0</c:v>
                </c:pt>
              </c:numCache>
            </c:numRef>
          </c:val>
          <c:extLst>
            <c:ext xmlns:c16="http://schemas.microsoft.com/office/drawing/2014/chart" uri="{C3380CC4-5D6E-409C-BE32-E72D297353CC}">
              <c16:uniqueId val="{00000004-C2DA-4BF2-BD7E-304B8F1FAE3C}"/>
            </c:ext>
          </c:extLst>
        </c:ser>
        <c:ser>
          <c:idx val="5"/>
          <c:order val="5"/>
          <c:tx>
            <c:strRef>
              <c:f>'Vannbehandling - Resultater'!$A$64</c:f>
              <c:strCache>
                <c:ptCount val="1"/>
                <c:pt idx="0">
                  <c:v>CO₂ til vannbehandling</c:v>
                </c:pt>
              </c:strCache>
            </c:strRef>
          </c:tx>
          <c:spPr>
            <a:solidFill>
              <a:schemeClr val="accent6"/>
            </a:solidFill>
            <a:ln>
              <a:noFill/>
            </a:ln>
            <a:effectLst/>
          </c:spPr>
          <c:invertIfNegative val="0"/>
          <c:cat>
            <c:strRef>
              <c:f>'Vannbehandling - Resultater'!$B$58</c:f>
              <c:strCache>
                <c:ptCount val="1"/>
                <c:pt idx="0">
                  <c:v>kg CO₂ ekv./år</c:v>
                </c:pt>
              </c:strCache>
            </c:strRef>
          </c:cat>
          <c:val>
            <c:numRef>
              <c:f>'Vannbehandling - Resultater'!$B$64</c:f>
              <c:numCache>
                <c:formatCode>#,##0</c:formatCode>
                <c:ptCount val="1"/>
                <c:pt idx="0">
                  <c:v>0</c:v>
                </c:pt>
              </c:numCache>
            </c:numRef>
          </c:val>
          <c:extLst>
            <c:ext xmlns:c16="http://schemas.microsoft.com/office/drawing/2014/chart" uri="{C3380CC4-5D6E-409C-BE32-E72D297353CC}">
              <c16:uniqueId val="{00000005-C2DA-4BF2-BD7E-304B8F1FAE3C}"/>
            </c:ext>
          </c:extLst>
        </c:ser>
        <c:ser>
          <c:idx val="6"/>
          <c:order val="6"/>
          <c:tx>
            <c:strRef>
              <c:f>'Vannbehandling - Resultater'!$A$65</c:f>
              <c:strCache>
                <c:ptCount val="1"/>
                <c:pt idx="0">
                  <c:v>Flytende oksygen til ozonproduksjon</c:v>
                </c:pt>
              </c:strCache>
            </c:strRef>
          </c:tx>
          <c:spPr>
            <a:solidFill>
              <a:schemeClr val="accent1">
                <a:lumMod val="60000"/>
              </a:schemeClr>
            </a:solidFill>
            <a:ln>
              <a:noFill/>
            </a:ln>
            <a:effectLst/>
          </c:spPr>
          <c:invertIfNegative val="0"/>
          <c:cat>
            <c:strRef>
              <c:f>'Vannbehandling - Resultater'!$B$58</c:f>
              <c:strCache>
                <c:ptCount val="1"/>
                <c:pt idx="0">
                  <c:v>kg CO₂ ekv./år</c:v>
                </c:pt>
              </c:strCache>
            </c:strRef>
          </c:cat>
          <c:val>
            <c:numRef>
              <c:f>'Vannbehandling - Resultater'!$B$65</c:f>
              <c:numCache>
                <c:formatCode>#,##0</c:formatCode>
                <c:ptCount val="1"/>
                <c:pt idx="0">
                  <c:v>0</c:v>
                </c:pt>
              </c:numCache>
            </c:numRef>
          </c:val>
          <c:extLst>
            <c:ext xmlns:c16="http://schemas.microsoft.com/office/drawing/2014/chart" uri="{C3380CC4-5D6E-409C-BE32-E72D297353CC}">
              <c16:uniqueId val="{00000006-C2DA-4BF2-BD7E-304B8F1FAE3C}"/>
            </c:ext>
          </c:extLst>
        </c:ser>
        <c:ser>
          <c:idx val="7"/>
          <c:order val="7"/>
          <c:tx>
            <c:strRef>
              <c:f>'Vannbehandling - Resultater'!$A$66</c:f>
              <c:strCache>
                <c:ptCount val="1"/>
                <c:pt idx="0">
                  <c:v>Fosforsyre</c:v>
                </c:pt>
              </c:strCache>
            </c:strRef>
          </c:tx>
          <c:spPr>
            <a:solidFill>
              <a:schemeClr val="accent2">
                <a:lumMod val="60000"/>
              </a:schemeClr>
            </a:solidFill>
            <a:ln>
              <a:noFill/>
            </a:ln>
            <a:effectLst/>
          </c:spPr>
          <c:invertIfNegative val="0"/>
          <c:cat>
            <c:strRef>
              <c:f>'Vannbehandling - Resultater'!$B$58</c:f>
              <c:strCache>
                <c:ptCount val="1"/>
                <c:pt idx="0">
                  <c:v>kg CO₂ ekv./år</c:v>
                </c:pt>
              </c:strCache>
            </c:strRef>
          </c:cat>
          <c:val>
            <c:numRef>
              <c:f>'Vannbehandling - Resultater'!$B$66</c:f>
              <c:numCache>
                <c:formatCode>#,##0</c:formatCode>
                <c:ptCount val="1"/>
                <c:pt idx="0">
                  <c:v>0</c:v>
                </c:pt>
              </c:numCache>
            </c:numRef>
          </c:val>
          <c:extLst>
            <c:ext xmlns:c16="http://schemas.microsoft.com/office/drawing/2014/chart" uri="{C3380CC4-5D6E-409C-BE32-E72D297353CC}">
              <c16:uniqueId val="{00000007-C2DA-4BF2-BD7E-304B8F1FAE3C}"/>
            </c:ext>
          </c:extLst>
        </c:ser>
        <c:ser>
          <c:idx val="8"/>
          <c:order val="8"/>
          <c:tx>
            <c:strRef>
              <c:f>'Vannbehandling - Resultater'!$A$67</c:f>
              <c:strCache>
                <c:ptCount val="1"/>
                <c:pt idx="0">
                  <c:v>Hydrogenperoksid (H2O2) </c:v>
                </c:pt>
              </c:strCache>
            </c:strRef>
          </c:tx>
          <c:spPr>
            <a:solidFill>
              <a:schemeClr val="accent3">
                <a:lumMod val="60000"/>
              </a:schemeClr>
            </a:solidFill>
            <a:ln>
              <a:noFill/>
            </a:ln>
            <a:effectLst/>
          </c:spPr>
          <c:invertIfNegative val="0"/>
          <c:cat>
            <c:strRef>
              <c:f>'Vannbehandling - Resultater'!$B$58</c:f>
              <c:strCache>
                <c:ptCount val="1"/>
                <c:pt idx="0">
                  <c:v>kg CO₂ ekv./år</c:v>
                </c:pt>
              </c:strCache>
            </c:strRef>
          </c:cat>
          <c:val>
            <c:numRef>
              <c:f>'Vannbehandling - Resultater'!$B$67</c:f>
              <c:numCache>
                <c:formatCode>#,##0</c:formatCode>
                <c:ptCount val="1"/>
                <c:pt idx="0">
                  <c:v>0</c:v>
                </c:pt>
              </c:numCache>
            </c:numRef>
          </c:val>
          <c:extLst>
            <c:ext xmlns:c16="http://schemas.microsoft.com/office/drawing/2014/chart" uri="{C3380CC4-5D6E-409C-BE32-E72D297353CC}">
              <c16:uniqueId val="{00000008-C2DA-4BF2-BD7E-304B8F1FAE3C}"/>
            </c:ext>
          </c:extLst>
        </c:ser>
        <c:ser>
          <c:idx val="9"/>
          <c:order val="9"/>
          <c:tx>
            <c:strRef>
              <c:f>'Vannbehandling - Resultater'!$A$68</c:f>
              <c:strCache>
                <c:ptCount val="1"/>
                <c:pt idx="0">
                  <c:v>Ionebyttesalt</c:v>
                </c:pt>
              </c:strCache>
            </c:strRef>
          </c:tx>
          <c:spPr>
            <a:solidFill>
              <a:schemeClr val="accent4">
                <a:lumMod val="60000"/>
              </a:schemeClr>
            </a:solidFill>
            <a:ln>
              <a:noFill/>
            </a:ln>
            <a:effectLst/>
          </c:spPr>
          <c:invertIfNegative val="0"/>
          <c:cat>
            <c:strRef>
              <c:f>'Vannbehandling - Resultater'!$B$58</c:f>
              <c:strCache>
                <c:ptCount val="1"/>
                <c:pt idx="0">
                  <c:v>kg CO₂ ekv./år</c:v>
                </c:pt>
              </c:strCache>
            </c:strRef>
          </c:cat>
          <c:val>
            <c:numRef>
              <c:f>'Vannbehandling - Resultater'!$B$68</c:f>
              <c:numCache>
                <c:formatCode>#,##0</c:formatCode>
                <c:ptCount val="1"/>
                <c:pt idx="0">
                  <c:v>0</c:v>
                </c:pt>
              </c:numCache>
            </c:numRef>
          </c:val>
          <c:extLst>
            <c:ext xmlns:c16="http://schemas.microsoft.com/office/drawing/2014/chart" uri="{C3380CC4-5D6E-409C-BE32-E72D297353CC}">
              <c16:uniqueId val="{00000009-C2DA-4BF2-BD7E-304B8F1FAE3C}"/>
            </c:ext>
          </c:extLst>
        </c:ser>
        <c:ser>
          <c:idx val="10"/>
          <c:order val="10"/>
          <c:tx>
            <c:strRef>
              <c:f>'Vannbehandling - Resultater'!$A$69</c:f>
              <c:strCache>
                <c:ptCount val="1"/>
                <c:pt idx="0">
                  <c:v>Klor, flytende</c:v>
                </c:pt>
              </c:strCache>
            </c:strRef>
          </c:tx>
          <c:spPr>
            <a:solidFill>
              <a:schemeClr val="accent5">
                <a:lumMod val="60000"/>
              </a:schemeClr>
            </a:solidFill>
            <a:ln>
              <a:noFill/>
            </a:ln>
            <a:effectLst/>
          </c:spPr>
          <c:invertIfNegative val="0"/>
          <c:cat>
            <c:strRef>
              <c:f>'Vannbehandling - Resultater'!$B$58</c:f>
              <c:strCache>
                <c:ptCount val="1"/>
                <c:pt idx="0">
                  <c:v>kg CO₂ ekv./år</c:v>
                </c:pt>
              </c:strCache>
            </c:strRef>
          </c:cat>
          <c:val>
            <c:numRef>
              <c:f>'Vannbehandling - Resultater'!$B$69</c:f>
              <c:numCache>
                <c:formatCode>#,##0</c:formatCode>
                <c:ptCount val="1"/>
                <c:pt idx="0">
                  <c:v>0</c:v>
                </c:pt>
              </c:numCache>
            </c:numRef>
          </c:val>
          <c:extLst>
            <c:ext xmlns:c16="http://schemas.microsoft.com/office/drawing/2014/chart" uri="{C3380CC4-5D6E-409C-BE32-E72D297353CC}">
              <c16:uniqueId val="{0000000A-C2DA-4BF2-BD7E-304B8F1FAE3C}"/>
            </c:ext>
          </c:extLst>
        </c:ser>
        <c:ser>
          <c:idx val="11"/>
          <c:order val="11"/>
          <c:tx>
            <c:strRef>
              <c:f>'Vannbehandling - Resultater'!$A$70</c:f>
              <c:strCache>
                <c:ptCount val="1"/>
                <c:pt idx="0">
                  <c:v>Klorgass</c:v>
                </c:pt>
              </c:strCache>
            </c:strRef>
          </c:tx>
          <c:spPr>
            <a:solidFill>
              <a:schemeClr val="accent6">
                <a:lumMod val="60000"/>
              </a:schemeClr>
            </a:solidFill>
            <a:ln>
              <a:noFill/>
            </a:ln>
            <a:effectLst/>
          </c:spPr>
          <c:invertIfNegative val="0"/>
          <c:cat>
            <c:strRef>
              <c:f>'Vannbehandling - Resultater'!$B$58</c:f>
              <c:strCache>
                <c:ptCount val="1"/>
                <c:pt idx="0">
                  <c:v>kg CO₂ ekv./år</c:v>
                </c:pt>
              </c:strCache>
            </c:strRef>
          </c:cat>
          <c:val>
            <c:numRef>
              <c:f>'Vannbehandling - Resultater'!$B$70</c:f>
              <c:numCache>
                <c:formatCode>#,##0</c:formatCode>
                <c:ptCount val="1"/>
                <c:pt idx="0">
                  <c:v>0</c:v>
                </c:pt>
              </c:numCache>
            </c:numRef>
          </c:val>
          <c:extLst>
            <c:ext xmlns:c16="http://schemas.microsoft.com/office/drawing/2014/chart" uri="{C3380CC4-5D6E-409C-BE32-E72D297353CC}">
              <c16:uniqueId val="{0000000B-C2DA-4BF2-BD7E-304B8F1FAE3C}"/>
            </c:ext>
          </c:extLst>
        </c:ser>
        <c:ser>
          <c:idx val="12"/>
          <c:order val="12"/>
          <c:tx>
            <c:strRef>
              <c:f>'Vannbehandling - Resultater'!$A$71</c:f>
              <c:strCache>
                <c:ptCount val="1"/>
                <c:pt idx="0">
                  <c:v>Litiumklorid</c:v>
                </c:pt>
              </c:strCache>
            </c:strRef>
          </c:tx>
          <c:spPr>
            <a:solidFill>
              <a:schemeClr val="accent1">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Resultater'!$B$71</c:f>
              <c:numCache>
                <c:formatCode>#,##0</c:formatCode>
                <c:ptCount val="1"/>
                <c:pt idx="0">
                  <c:v>0</c:v>
                </c:pt>
              </c:numCache>
            </c:numRef>
          </c:val>
          <c:extLst>
            <c:ext xmlns:c16="http://schemas.microsoft.com/office/drawing/2014/chart" uri="{C3380CC4-5D6E-409C-BE32-E72D297353CC}">
              <c16:uniqueId val="{0000000C-C2DA-4BF2-BD7E-304B8F1FAE3C}"/>
            </c:ext>
          </c:extLst>
        </c:ser>
        <c:ser>
          <c:idx val="13"/>
          <c:order val="13"/>
          <c:tx>
            <c:strRef>
              <c:f>'Vannbehandling - Resultater'!$A$72</c:f>
              <c:strCache>
                <c:ptCount val="1"/>
                <c:pt idx="0">
                  <c:v>Magnesiumklorid</c:v>
                </c:pt>
              </c:strCache>
            </c:strRef>
          </c:tx>
          <c:spPr>
            <a:solidFill>
              <a:schemeClr val="accent2">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Resultater'!$B$72</c:f>
              <c:numCache>
                <c:formatCode>#,##0</c:formatCode>
                <c:ptCount val="1"/>
                <c:pt idx="0">
                  <c:v>0</c:v>
                </c:pt>
              </c:numCache>
            </c:numRef>
          </c:val>
          <c:extLst>
            <c:ext xmlns:c16="http://schemas.microsoft.com/office/drawing/2014/chart" uri="{C3380CC4-5D6E-409C-BE32-E72D297353CC}">
              <c16:uniqueId val="{0000000D-C2DA-4BF2-BD7E-304B8F1FAE3C}"/>
            </c:ext>
          </c:extLst>
        </c:ser>
        <c:ser>
          <c:idx val="14"/>
          <c:order val="14"/>
          <c:tx>
            <c:strRef>
              <c:f>'Vannbehandling - Resultater'!$A$73</c:f>
              <c:strCache>
                <c:ptCount val="1"/>
                <c:pt idx="0">
                  <c:v>Natriumhypokloritt (NaClO)</c:v>
                </c:pt>
              </c:strCache>
            </c:strRef>
          </c:tx>
          <c:spPr>
            <a:solidFill>
              <a:schemeClr val="accent3">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Resultater'!$B$73</c:f>
              <c:numCache>
                <c:formatCode>#,##0</c:formatCode>
                <c:ptCount val="1"/>
                <c:pt idx="0">
                  <c:v>0</c:v>
                </c:pt>
              </c:numCache>
            </c:numRef>
          </c:val>
          <c:extLst>
            <c:ext xmlns:c16="http://schemas.microsoft.com/office/drawing/2014/chart" uri="{C3380CC4-5D6E-409C-BE32-E72D297353CC}">
              <c16:uniqueId val="{00000000-BDD7-4556-8F1B-888447D533A1}"/>
            </c:ext>
          </c:extLst>
        </c:ser>
        <c:ser>
          <c:idx val="15"/>
          <c:order val="15"/>
          <c:tx>
            <c:strRef>
              <c:f>'Vannbehandling - Resultater'!$A$74</c:f>
              <c:strCache>
                <c:ptCount val="1"/>
                <c:pt idx="0">
                  <c:v>Natriumthiosulfat</c:v>
                </c:pt>
              </c:strCache>
            </c:strRef>
          </c:tx>
          <c:spPr>
            <a:solidFill>
              <a:schemeClr val="accent4">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Resultater'!$B$74</c:f>
              <c:numCache>
                <c:formatCode>#,##0</c:formatCode>
                <c:ptCount val="1"/>
                <c:pt idx="0">
                  <c:v>0</c:v>
                </c:pt>
              </c:numCache>
            </c:numRef>
          </c:val>
          <c:extLst>
            <c:ext xmlns:c16="http://schemas.microsoft.com/office/drawing/2014/chart" uri="{C3380CC4-5D6E-409C-BE32-E72D297353CC}">
              <c16:uniqueId val="{00000000-25A3-45BB-BDE6-96EB4DC0CAC6}"/>
            </c:ext>
          </c:extLst>
        </c:ser>
        <c:ser>
          <c:idx val="16"/>
          <c:order val="16"/>
          <c:tx>
            <c:strRef>
              <c:f>'Vannbehandling - Resultater'!$A$75</c:f>
              <c:strCache>
                <c:ptCount val="1"/>
                <c:pt idx="0">
                  <c:v>Oktanol </c:v>
                </c:pt>
              </c:strCache>
            </c:strRef>
          </c:tx>
          <c:spPr>
            <a:solidFill>
              <a:schemeClr val="accent5">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Resultater'!$B$75</c:f>
              <c:numCache>
                <c:formatCode>#,##0</c:formatCode>
                <c:ptCount val="1"/>
                <c:pt idx="0">
                  <c:v>0</c:v>
                </c:pt>
              </c:numCache>
            </c:numRef>
          </c:val>
          <c:extLst>
            <c:ext xmlns:c16="http://schemas.microsoft.com/office/drawing/2014/chart" uri="{C3380CC4-5D6E-409C-BE32-E72D297353CC}">
              <c16:uniqueId val="{00000001-25A3-45BB-BDE6-96EB4DC0CAC6}"/>
            </c:ext>
          </c:extLst>
        </c:ser>
        <c:ser>
          <c:idx val="17"/>
          <c:order val="17"/>
          <c:tx>
            <c:strRef>
              <c:f>'Vannbehandling - Resultater'!$A$76</c:f>
              <c:strCache>
                <c:ptCount val="1"/>
                <c:pt idx="0">
                  <c:v>Propan</c:v>
                </c:pt>
              </c:strCache>
            </c:strRef>
          </c:tx>
          <c:spPr>
            <a:solidFill>
              <a:schemeClr val="accent6">
                <a:lumMod val="80000"/>
                <a:lumOff val="20000"/>
              </a:schemeClr>
            </a:solidFill>
            <a:ln>
              <a:noFill/>
            </a:ln>
            <a:effectLst/>
          </c:spPr>
          <c:invertIfNegative val="0"/>
          <c:cat>
            <c:strRef>
              <c:f>'Vannbehandling - Resultater'!$B$58</c:f>
              <c:strCache>
                <c:ptCount val="1"/>
                <c:pt idx="0">
                  <c:v>kg CO₂ ekv./år</c:v>
                </c:pt>
              </c:strCache>
            </c:strRef>
          </c:cat>
          <c:val>
            <c:numRef>
              <c:f>'Vannbehandling - Resultater'!$B$76</c:f>
              <c:numCache>
                <c:formatCode>#,##0</c:formatCode>
                <c:ptCount val="1"/>
                <c:pt idx="0">
                  <c:v>0</c:v>
                </c:pt>
              </c:numCache>
            </c:numRef>
          </c:val>
          <c:extLst>
            <c:ext xmlns:c16="http://schemas.microsoft.com/office/drawing/2014/chart" uri="{C3380CC4-5D6E-409C-BE32-E72D297353CC}">
              <c16:uniqueId val="{00000000-9667-4A50-B59B-60A12638BABB}"/>
            </c:ext>
          </c:extLst>
        </c:ser>
        <c:ser>
          <c:idx val="18"/>
          <c:order val="18"/>
          <c:tx>
            <c:strRef>
              <c:f>'Vannbehandling - Resultater'!$A$77</c:f>
              <c:strCache>
                <c:ptCount val="1"/>
                <c:pt idx="0">
                  <c:v>Salpetersyre (HNO3)</c:v>
                </c:pt>
              </c:strCache>
            </c:strRef>
          </c:tx>
          <c:spPr>
            <a:solidFill>
              <a:schemeClr val="accent1">
                <a:lumMod val="80000"/>
              </a:schemeClr>
            </a:solidFill>
            <a:ln>
              <a:noFill/>
            </a:ln>
            <a:effectLst/>
          </c:spPr>
          <c:invertIfNegative val="0"/>
          <c:cat>
            <c:strRef>
              <c:f>'Vannbehandling - Resultater'!$B$58</c:f>
              <c:strCache>
                <c:ptCount val="1"/>
                <c:pt idx="0">
                  <c:v>kg CO₂ ekv./år</c:v>
                </c:pt>
              </c:strCache>
            </c:strRef>
          </c:cat>
          <c:val>
            <c:numRef>
              <c:f>'Vannbehandling - Resultater'!$B$77</c:f>
              <c:numCache>
                <c:formatCode>#,##0</c:formatCode>
                <c:ptCount val="1"/>
                <c:pt idx="0">
                  <c:v>0</c:v>
                </c:pt>
              </c:numCache>
            </c:numRef>
          </c:val>
          <c:extLst>
            <c:ext xmlns:c16="http://schemas.microsoft.com/office/drawing/2014/chart" uri="{C3380CC4-5D6E-409C-BE32-E72D297353CC}">
              <c16:uniqueId val="{00000000-8565-4859-B52F-231F4BB74D75}"/>
            </c:ext>
          </c:extLst>
        </c:ser>
        <c:ser>
          <c:idx val="19"/>
          <c:order val="19"/>
          <c:tx>
            <c:strRef>
              <c:f>'Vannbehandling - Resultater'!$A$78</c:f>
              <c:strCache>
                <c:ptCount val="1"/>
                <c:pt idx="0">
                  <c:v>Saltsyre (HCl)</c:v>
                </c:pt>
              </c:strCache>
            </c:strRef>
          </c:tx>
          <c:spPr>
            <a:solidFill>
              <a:schemeClr val="accent2">
                <a:lumMod val="80000"/>
              </a:schemeClr>
            </a:solidFill>
            <a:ln>
              <a:noFill/>
            </a:ln>
            <a:effectLst/>
          </c:spPr>
          <c:invertIfNegative val="0"/>
          <c:cat>
            <c:strRef>
              <c:f>'Vannbehandling - Resultater'!$B$58</c:f>
              <c:strCache>
                <c:ptCount val="1"/>
                <c:pt idx="0">
                  <c:v>kg CO₂ ekv./år</c:v>
                </c:pt>
              </c:strCache>
            </c:strRef>
          </c:cat>
          <c:val>
            <c:numRef>
              <c:f>'Vannbehandling - Resultater'!$B$78</c:f>
              <c:numCache>
                <c:formatCode>#,##0</c:formatCode>
                <c:ptCount val="1"/>
                <c:pt idx="0">
                  <c:v>0</c:v>
                </c:pt>
              </c:numCache>
            </c:numRef>
          </c:val>
          <c:extLst>
            <c:ext xmlns:c16="http://schemas.microsoft.com/office/drawing/2014/chart" uri="{C3380CC4-5D6E-409C-BE32-E72D297353CC}">
              <c16:uniqueId val="{00000001-139E-4D46-ADB6-3264B6611E71}"/>
            </c:ext>
          </c:extLst>
        </c:ser>
        <c:ser>
          <c:idx val="20"/>
          <c:order val="20"/>
          <c:tx>
            <c:strRef>
              <c:f>'Vannbehandling - Resultater'!$A$79</c:f>
              <c:strCache>
                <c:ptCount val="1"/>
                <c:pt idx="0">
                  <c:v>Svovelsyre (H2SO4)</c:v>
                </c:pt>
              </c:strCache>
            </c:strRef>
          </c:tx>
          <c:spPr>
            <a:solidFill>
              <a:schemeClr val="accent3">
                <a:lumMod val="80000"/>
              </a:schemeClr>
            </a:solidFill>
            <a:ln>
              <a:noFill/>
            </a:ln>
            <a:effectLst/>
          </c:spPr>
          <c:invertIfNegative val="0"/>
          <c:cat>
            <c:strRef>
              <c:f>'Vannbehandling - Resultater'!$B$58</c:f>
              <c:strCache>
                <c:ptCount val="1"/>
                <c:pt idx="0">
                  <c:v>kg CO₂ ekv./år</c:v>
                </c:pt>
              </c:strCache>
            </c:strRef>
          </c:cat>
          <c:val>
            <c:numRef>
              <c:f>'Vannbehandling - Resultater'!$B$79</c:f>
              <c:numCache>
                <c:formatCode>#,##0</c:formatCode>
                <c:ptCount val="1"/>
                <c:pt idx="0">
                  <c:v>0</c:v>
                </c:pt>
              </c:numCache>
            </c:numRef>
          </c:val>
          <c:extLst>
            <c:ext xmlns:c16="http://schemas.microsoft.com/office/drawing/2014/chart" uri="{C3380CC4-5D6E-409C-BE32-E72D297353CC}">
              <c16:uniqueId val="{00000002-139E-4D46-ADB6-3264B6611E71}"/>
            </c:ext>
          </c:extLst>
        </c:ser>
        <c:ser>
          <c:idx val="21"/>
          <c:order val="21"/>
          <c:tx>
            <c:strRef>
              <c:f>'Vannbehandling - Resultater'!$A$80</c:f>
              <c:strCache>
                <c:ptCount val="1"/>
                <c:pt idx="0">
                  <c:v>Vannglass (Natriumsilikat)</c:v>
                </c:pt>
              </c:strCache>
            </c:strRef>
          </c:tx>
          <c:spPr>
            <a:solidFill>
              <a:schemeClr val="accent4">
                <a:lumMod val="80000"/>
              </a:schemeClr>
            </a:solidFill>
            <a:ln>
              <a:noFill/>
            </a:ln>
            <a:effectLst/>
          </c:spPr>
          <c:invertIfNegative val="0"/>
          <c:cat>
            <c:strRef>
              <c:f>'Vannbehandling - Resultater'!$B$58</c:f>
              <c:strCache>
                <c:ptCount val="1"/>
                <c:pt idx="0">
                  <c:v>kg CO₂ ekv./år</c:v>
                </c:pt>
              </c:strCache>
            </c:strRef>
          </c:cat>
          <c:val>
            <c:numRef>
              <c:f>'Vannbehandling - Resultater'!$B$80</c:f>
              <c:numCache>
                <c:formatCode>#,##0</c:formatCode>
                <c:ptCount val="1"/>
                <c:pt idx="0">
                  <c:v>0</c:v>
                </c:pt>
              </c:numCache>
            </c:numRef>
          </c:val>
          <c:extLst>
            <c:ext xmlns:c16="http://schemas.microsoft.com/office/drawing/2014/chart" uri="{C3380CC4-5D6E-409C-BE32-E72D297353CC}">
              <c16:uniqueId val="{00000001-1C8F-462D-80FA-00B5E5E4EA61}"/>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layout>
        <c:manualLayout>
          <c:xMode val="edge"/>
          <c:yMode val="edge"/>
          <c:x val="6.2338499813121867E-2"/>
          <c:y val="0.45145037966857549"/>
          <c:w val="0.88120271730739541"/>
          <c:h val="0.5256996408639498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63081954327902"/>
          <c:y val="7.2320841551610782E-2"/>
          <c:w val="0.73578700389724017"/>
          <c:h val="0.44149259449077743"/>
        </c:manualLayout>
      </c:layout>
      <c:barChart>
        <c:barDir val="bar"/>
        <c:grouping val="percentStacked"/>
        <c:varyColors val="0"/>
        <c:ser>
          <c:idx val="0"/>
          <c:order val="0"/>
          <c:tx>
            <c:strRef>
              <c:f>'Vannbehandling - Resultater'!$A$94</c:f>
              <c:strCache>
                <c:ptCount val="1"/>
                <c:pt idx="0">
                  <c:v>Transport</c:v>
                </c:pt>
              </c:strCache>
            </c:strRef>
          </c:tx>
          <c:spPr>
            <a:solidFill>
              <a:schemeClr val="accent1"/>
            </a:solidFill>
            <a:ln>
              <a:noFill/>
            </a:ln>
            <a:effectLst/>
          </c:spPr>
          <c:invertIfNegative val="0"/>
          <c:cat>
            <c:strRef>
              <c:f>'Vannbehandling - Resultater'!$B$94</c:f>
              <c:strCache>
                <c:ptCount val="1"/>
                <c:pt idx="0">
                  <c:v>kg CO₂ ekv./år</c:v>
                </c:pt>
              </c:strCache>
            </c:strRef>
          </c:cat>
          <c:val>
            <c:numRef>
              <c:f>'Vannbehandling - Resultater'!$B$94</c:f>
              <c:numCache>
                <c:formatCode>General</c:formatCode>
                <c:ptCount val="1"/>
                <c:pt idx="0">
                  <c:v>0</c:v>
                </c:pt>
              </c:numCache>
            </c:numRef>
          </c:val>
          <c:extLst>
            <c:ext xmlns:c16="http://schemas.microsoft.com/office/drawing/2014/chart" uri="{C3380CC4-5D6E-409C-BE32-E72D297353CC}">
              <c16:uniqueId val="{00000000-7C56-4204-8DBC-1FBD6517EE71}"/>
            </c:ext>
          </c:extLst>
        </c:ser>
        <c:ser>
          <c:idx val="1"/>
          <c:order val="1"/>
          <c:tx>
            <c:strRef>
              <c:f>'Vannbehandling - Resultater'!$A$95</c:f>
              <c:strCache>
                <c:ptCount val="1"/>
                <c:pt idx="0">
                  <c:v>Filtermasser</c:v>
                </c:pt>
              </c:strCache>
            </c:strRef>
          </c:tx>
          <c:spPr>
            <a:solidFill>
              <a:schemeClr val="accent2"/>
            </a:solidFill>
            <a:ln>
              <a:noFill/>
            </a:ln>
            <a:effectLst/>
          </c:spPr>
          <c:invertIfNegative val="0"/>
          <c:cat>
            <c:strRef>
              <c:f>'Vannbehandling - Resultater'!$B$94</c:f>
              <c:strCache>
                <c:ptCount val="1"/>
                <c:pt idx="0">
                  <c:v>kg CO₂ ekv./år</c:v>
                </c:pt>
              </c:strCache>
            </c:strRef>
          </c:cat>
          <c:val>
            <c:numRef>
              <c:f>'Vannbehandling - Resultater'!$B$95</c:f>
              <c:numCache>
                <c:formatCode>#,##0</c:formatCode>
                <c:ptCount val="1"/>
                <c:pt idx="0">
                  <c:v>0</c:v>
                </c:pt>
              </c:numCache>
            </c:numRef>
          </c:val>
          <c:extLst>
            <c:ext xmlns:c16="http://schemas.microsoft.com/office/drawing/2014/chart" uri="{C3380CC4-5D6E-409C-BE32-E72D297353CC}">
              <c16:uniqueId val="{00000001-7C56-4204-8DBC-1FBD6517EE71}"/>
            </c:ext>
          </c:extLst>
        </c:ser>
        <c:ser>
          <c:idx val="2"/>
          <c:order val="2"/>
          <c:tx>
            <c:strRef>
              <c:f>'Vannbehandling - Resultater'!$A$96</c:f>
              <c:strCache>
                <c:ptCount val="1"/>
                <c:pt idx="0">
                  <c:v>Kjemikalier - felling</c:v>
                </c:pt>
              </c:strCache>
            </c:strRef>
          </c:tx>
          <c:spPr>
            <a:solidFill>
              <a:schemeClr val="accent3"/>
            </a:solidFill>
            <a:ln>
              <a:noFill/>
            </a:ln>
            <a:effectLst/>
          </c:spPr>
          <c:invertIfNegative val="0"/>
          <c:cat>
            <c:strRef>
              <c:f>'Vannbehandling - Resultater'!$B$94</c:f>
              <c:strCache>
                <c:ptCount val="1"/>
                <c:pt idx="0">
                  <c:v>kg CO₂ ekv./år</c:v>
                </c:pt>
              </c:strCache>
            </c:strRef>
          </c:cat>
          <c:val>
            <c:numRef>
              <c:f>'Vannbehandling - Resultater'!$B$96</c:f>
              <c:numCache>
                <c:formatCode>#,##0</c:formatCode>
                <c:ptCount val="1"/>
                <c:pt idx="0">
                  <c:v>0</c:v>
                </c:pt>
              </c:numCache>
            </c:numRef>
          </c:val>
          <c:extLst>
            <c:ext xmlns:c16="http://schemas.microsoft.com/office/drawing/2014/chart" uri="{C3380CC4-5D6E-409C-BE32-E72D297353CC}">
              <c16:uniqueId val="{00000002-7C56-4204-8DBC-1FBD6517EE71}"/>
            </c:ext>
          </c:extLst>
        </c:ser>
        <c:ser>
          <c:idx val="3"/>
          <c:order val="3"/>
          <c:tx>
            <c:strRef>
              <c:f>'Vannbehandling - Resultater'!$A$97</c:f>
              <c:strCache>
                <c:ptCount val="1"/>
                <c:pt idx="0">
                  <c:v>Karbonkilder</c:v>
                </c:pt>
              </c:strCache>
            </c:strRef>
          </c:tx>
          <c:spPr>
            <a:solidFill>
              <a:schemeClr val="accent4"/>
            </a:solidFill>
            <a:ln>
              <a:noFill/>
            </a:ln>
            <a:effectLst/>
          </c:spPr>
          <c:invertIfNegative val="0"/>
          <c:cat>
            <c:strRef>
              <c:f>'Vannbehandling - Resultater'!$B$94</c:f>
              <c:strCache>
                <c:ptCount val="1"/>
                <c:pt idx="0">
                  <c:v>kg CO₂ ekv./år</c:v>
                </c:pt>
              </c:strCache>
            </c:strRef>
          </c:cat>
          <c:val>
            <c:numRef>
              <c:f>'Vannbehandling - Resultater'!$B$97</c:f>
              <c:numCache>
                <c:formatCode>#,##0</c:formatCode>
                <c:ptCount val="1"/>
                <c:pt idx="0">
                  <c:v>0</c:v>
                </c:pt>
              </c:numCache>
            </c:numRef>
          </c:val>
          <c:extLst>
            <c:ext xmlns:c16="http://schemas.microsoft.com/office/drawing/2014/chart" uri="{C3380CC4-5D6E-409C-BE32-E72D297353CC}">
              <c16:uniqueId val="{00000003-7C56-4204-8DBC-1FBD6517EE71}"/>
            </c:ext>
          </c:extLst>
        </c:ser>
        <c:ser>
          <c:idx val="4"/>
          <c:order val="4"/>
          <c:tx>
            <c:strRef>
              <c:f>'Vannbehandling - Resultater'!$A$98</c:f>
              <c:strCache>
                <c:ptCount val="1"/>
                <c:pt idx="0">
                  <c:v>Kjemikalier – pH-justering/korrosjonskontroll</c:v>
                </c:pt>
              </c:strCache>
            </c:strRef>
          </c:tx>
          <c:spPr>
            <a:solidFill>
              <a:schemeClr val="accent5"/>
            </a:solidFill>
            <a:ln>
              <a:noFill/>
            </a:ln>
            <a:effectLst/>
          </c:spPr>
          <c:invertIfNegative val="0"/>
          <c:cat>
            <c:strRef>
              <c:f>'Vannbehandling - Resultater'!$B$94</c:f>
              <c:strCache>
                <c:ptCount val="1"/>
                <c:pt idx="0">
                  <c:v>kg CO₂ ekv./år</c:v>
                </c:pt>
              </c:strCache>
            </c:strRef>
          </c:cat>
          <c:val>
            <c:numRef>
              <c:f>'Vannbehandling - Resultater'!$B$98</c:f>
              <c:numCache>
                <c:formatCode>#,##0</c:formatCode>
                <c:ptCount val="1"/>
                <c:pt idx="0">
                  <c:v>0</c:v>
                </c:pt>
              </c:numCache>
            </c:numRef>
          </c:val>
          <c:extLst>
            <c:ext xmlns:c16="http://schemas.microsoft.com/office/drawing/2014/chart" uri="{C3380CC4-5D6E-409C-BE32-E72D297353CC}">
              <c16:uniqueId val="{00000004-7C56-4204-8DBC-1FBD6517EE71}"/>
            </c:ext>
          </c:extLst>
        </c:ser>
        <c:ser>
          <c:idx val="5"/>
          <c:order val="5"/>
          <c:tx>
            <c:strRef>
              <c:f>'Vannbehandling - Resultater'!$A$99</c:f>
              <c:strCache>
                <c:ptCount val="1"/>
                <c:pt idx="0">
                  <c:v>Andre kjemikalier</c:v>
                </c:pt>
              </c:strCache>
            </c:strRef>
          </c:tx>
          <c:spPr>
            <a:solidFill>
              <a:schemeClr val="accent6"/>
            </a:solidFill>
            <a:ln>
              <a:noFill/>
            </a:ln>
            <a:effectLst/>
          </c:spPr>
          <c:invertIfNegative val="0"/>
          <c:cat>
            <c:strRef>
              <c:f>'Vannbehandling - Resultater'!$B$94</c:f>
              <c:strCache>
                <c:ptCount val="1"/>
                <c:pt idx="0">
                  <c:v>kg CO₂ ekv./år</c:v>
                </c:pt>
              </c:strCache>
            </c:strRef>
          </c:cat>
          <c:val>
            <c:numRef>
              <c:f>'Vannbehandling - Resultater'!$B$99</c:f>
              <c:numCache>
                <c:formatCode>#,##0</c:formatCode>
                <c:ptCount val="1"/>
                <c:pt idx="0">
                  <c:v>0</c:v>
                </c:pt>
              </c:numCache>
            </c:numRef>
          </c:val>
          <c:extLst>
            <c:ext xmlns:c16="http://schemas.microsoft.com/office/drawing/2014/chart" uri="{C3380CC4-5D6E-409C-BE32-E72D297353CC}">
              <c16:uniqueId val="{00000005-7C56-4204-8DBC-1FBD6517EE71}"/>
            </c:ext>
          </c:extLst>
        </c:ser>
        <c:ser>
          <c:idx val="6"/>
          <c:order val="6"/>
          <c:tx>
            <c:strRef>
              <c:f>'Vannbehandling - Resultater'!$A$101</c:f>
              <c:strCache>
                <c:ptCount val="1"/>
                <c:pt idx="0">
                  <c:v>Slam, ristgods og masser</c:v>
                </c:pt>
              </c:strCache>
            </c:strRef>
          </c:tx>
          <c:spPr>
            <a:solidFill>
              <a:schemeClr val="accent1">
                <a:lumMod val="60000"/>
              </a:schemeClr>
            </a:solidFill>
            <a:ln>
              <a:noFill/>
            </a:ln>
            <a:effectLst/>
          </c:spPr>
          <c:invertIfNegative val="0"/>
          <c:cat>
            <c:strRef>
              <c:f>'Vannbehandling - Resultater'!$B$94</c:f>
              <c:strCache>
                <c:ptCount val="1"/>
                <c:pt idx="0">
                  <c:v>kg CO₂ ekv./år</c:v>
                </c:pt>
              </c:strCache>
            </c:strRef>
          </c:cat>
          <c:val>
            <c:numRef>
              <c:f>'Vannbehandling - Resultater'!$B$101</c:f>
              <c:numCache>
                <c:formatCode>#,##0</c:formatCode>
                <c:ptCount val="1"/>
                <c:pt idx="0">
                  <c:v>0</c:v>
                </c:pt>
              </c:numCache>
            </c:numRef>
          </c:val>
          <c:extLst>
            <c:ext xmlns:c16="http://schemas.microsoft.com/office/drawing/2014/chart" uri="{C3380CC4-5D6E-409C-BE32-E72D297353CC}">
              <c16:uniqueId val="{00000006-7C56-4204-8DBC-1FBD6517EE71}"/>
            </c:ext>
          </c:extLst>
        </c:ser>
        <c:dLbls>
          <c:showLegendKey val="0"/>
          <c:showVal val="0"/>
          <c:showCatName val="0"/>
          <c:showSerName val="0"/>
          <c:showPercent val="0"/>
          <c:showBubbleSize val="0"/>
        </c:dLbls>
        <c:gapWidth val="150"/>
        <c:overlap val="100"/>
        <c:axId val="915578736"/>
        <c:axId val="915583984"/>
      </c:barChart>
      <c:catAx>
        <c:axId val="915578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984"/>
        <c:crosses val="autoZero"/>
        <c:auto val="1"/>
        <c:lblAlgn val="ctr"/>
        <c:lblOffset val="100"/>
        <c:noMultiLvlLbl val="0"/>
      </c:catAx>
      <c:valAx>
        <c:axId val="9155839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78736"/>
        <c:crosses val="autoZero"/>
        <c:crossBetween val="between"/>
      </c:valAx>
      <c:spPr>
        <a:solidFill>
          <a:schemeClr val="bg2"/>
        </a:solidFill>
        <a:ln>
          <a:noFill/>
        </a:ln>
        <a:effectLst/>
      </c:spPr>
    </c:plotArea>
    <c:legend>
      <c:legendPos val="b"/>
      <c:legendEntry>
        <c:idx val="0"/>
        <c:delete val="1"/>
      </c:legendEntry>
      <c:layout>
        <c:manualLayout>
          <c:xMode val="edge"/>
          <c:yMode val="edge"/>
          <c:x val="5.3101651063670527E-3"/>
          <c:y val="0.64875816142816856"/>
          <c:w val="0.99468983489363272"/>
          <c:h val="0.2961454198390490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Resultater'!$A$83</c:f>
              <c:strCache>
                <c:ptCount val="1"/>
                <c:pt idx="0">
                  <c:v>F.eks Klor 15 %, mengde klor oppgis uten vann i tonn/år</c:v>
                </c:pt>
              </c:strCache>
            </c:strRef>
          </c:tx>
          <c:spPr>
            <a:solidFill>
              <a:schemeClr val="accent1"/>
            </a:solidFill>
            <a:ln>
              <a:noFill/>
            </a:ln>
            <a:effectLst/>
          </c:spPr>
          <c:invertIfNegative val="0"/>
          <c:cat>
            <c:strRef>
              <c:f>'Vannbehandling - Resultater'!$B$58</c:f>
              <c:strCache>
                <c:ptCount val="1"/>
                <c:pt idx="0">
                  <c:v>kg CO₂ ekv./år</c:v>
                </c:pt>
              </c:strCache>
            </c:strRef>
          </c:cat>
          <c:val>
            <c:numRef>
              <c:f>'Vannbehandling - Resultater'!$B$83</c:f>
              <c:numCache>
                <c:formatCode>#,##0</c:formatCode>
                <c:ptCount val="1"/>
                <c:pt idx="0">
                  <c:v>0</c:v>
                </c:pt>
              </c:numCache>
            </c:numRef>
          </c:val>
          <c:extLst>
            <c:ext xmlns:c16="http://schemas.microsoft.com/office/drawing/2014/chart" uri="{C3380CC4-5D6E-409C-BE32-E72D297353CC}">
              <c16:uniqueId val="{00000000-759F-451A-85FA-4821C70E8A26}"/>
            </c:ext>
          </c:extLst>
        </c:ser>
        <c:ser>
          <c:idx val="1"/>
          <c:order val="1"/>
          <c:tx>
            <c:strRef>
              <c:f>'Vannbehandling - Resultater'!$A$84</c:f>
              <c:strCache>
                <c:ptCount val="1"/>
                <c:pt idx="0">
                  <c:v>Skriv navn på vare her</c:v>
                </c:pt>
              </c:strCache>
            </c:strRef>
          </c:tx>
          <c:spPr>
            <a:solidFill>
              <a:schemeClr val="accent2"/>
            </a:solidFill>
            <a:ln>
              <a:noFill/>
            </a:ln>
            <a:effectLst/>
          </c:spPr>
          <c:invertIfNegative val="0"/>
          <c:cat>
            <c:strRef>
              <c:f>'Vannbehandling - Resultater'!$B$58</c:f>
              <c:strCache>
                <c:ptCount val="1"/>
                <c:pt idx="0">
                  <c:v>kg CO₂ ekv./år</c:v>
                </c:pt>
              </c:strCache>
            </c:strRef>
          </c:cat>
          <c:val>
            <c:numRef>
              <c:f>'Vannbehandling - Resultater'!$B$84</c:f>
              <c:numCache>
                <c:formatCode>#,##0</c:formatCode>
                <c:ptCount val="1"/>
                <c:pt idx="0">
                  <c:v>0</c:v>
                </c:pt>
              </c:numCache>
            </c:numRef>
          </c:val>
          <c:extLst>
            <c:ext xmlns:c16="http://schemas.microsoft.com/office/drawing/2014/chart" uri="{C3380CC4-5D6E-409C-BE32-E72D297353CC}">
              <c16:uniqueId val="{00000001-759F-451A-85FA-4821C70E8A26}"/>
            </c:ext>
          </c:extLst>
        </c:ser>
        <c:ser>
          <c:idx val="2"/>
          <c:order val="2"/>
          <c:tx>
            <c:strRef>
              <c:f>'Vannbehandling - Resultater'!$A$85</c:f>
              <c:strCache>
                <c:ptCount val="1"/>
                <c:pt idx="0">
                  <c:v>Skriv navn på vare her</c:v>
                </c:pt>
              </c:strCache>
            </c:strRef>
          </c:tx>
          <c:spPr>
            <a:solidFill>
              <a:schemeClr val="accent3"/>
            </a:solidFill>
            <a:ln>
              <a:noFill/>
            </a:ln>
            <a:effectLst/>
          </c:spPr>
          <c:invertIfNegative val="0"/>
          <c:cat>
            <c:strRef>
              <c:f>'Vannbehandling - Resultater'!$B$58</c:f>
              <c:strCache>
                <c:ptCount val="1"/>
                <c:pt idx="0">
                  <c:v>kg CO₂ ekv./år</c:v>
                </c:pt>
              </c:strCache>
            </c:strRef>
          </c:cat>
          <c:val>
            <c:numRef>
              <c:f>'Vannbehandling - Resultater'!$B$85</c:f>
              <c:numCache>
                <c:formatCode>#,##0</c:formatCode>
                <c:ptCount val="1"/>
                <c:pt idx="0">
                  <c:v>0</c:v>
                </c:pt>
              </c:numCache>
            </c:numRef>
          </c:val>
          <c:extLst>
            <c:ext xmlns:c16="http://schemas.microsoft.com/office/drawing/2014/chart" uri="{C3380CC4-5D6E-409C-BE32-E72D297353CC}">
              <c16:uniqueId val="{00000002-759F-451A-85FA-4821C70E8A26}"/>
            </c:ext>
          </c:extLst>
        </c:ser>
        <c:ser>
          <c:idx val="3"/>
          <c:order val="3"/>
          <c:tx>
            <c:strRef>
              <c:f>'Vannbehandling - Resultater'!$A$86</c:f>
              <c:strCache>
                <c:ptCount val="1"/>
                <c:pt idx="0">
                  <c:v>Skriv navn på vare her</c:v>
                </c:pt>
              </c:strCache>
            </c:strRef>
          </c:tx>
          <c:spPr>
            <a:solidFill>
              <a:schemeClr val="accent4"/>
            </a:solidFill>
            <a:ln>
              <a:noFill/>
            </a:ln>
            <a:effectLst/>
          </c:spPr>
          <c:invertIfNegative val="0"/>
          <c:cat>
            <c:strRef>
              <c:f>'Vannbehandling - Resultater'!$B$58</c:f>
              <c:strCache>
                <c:ptCount val="1"/>
                <c:pt idx="0">
                  <c:v>kg CO₂ ekv./år</c:v>
                </c:pt>
              </c:strCache>
            </c:strRef>
          </c:cat>
          <c:val>
            <c:numRef>
              <c:f>'Vannbehandling - Resultater'!$B$86</c:f>
              <c:numCache>
                <c:formatCode>#,##0</c:formatCode>
                <c:ptCount val="1"/>
                <c:pt idx="0">
                  <c:v>0</c:v>
                </c:pt>
              </c:numCache>
            </c:numRef>
          </c:val>
          <c:extLst>
            <c:ext xmlns:c16="http://schemas.microsoft.com/office/drawing/2014/chart" uri="{C3380CC4-5D6E-409C-BE32-E72D297353CC}">
              <c16:uniqueId val="{00000003-759F-451A-85FA-4821C70E8A26}"/>
            </c:ext>
          </c:extLst>
        </c:ser>
        <c:ser>
          <c:idx val="4"/>
          <c:order val="4"/>
          <c:tx>
            <c:strRef>
              <c:f>'Vannbehandling - Resultater'!$A$87</c:f>
              <c:strCache>
                <c:ptCount val="1"/>
                <c:pt idx="0">
                  <c:v>Skriv navn på vare her</c:v>
                </c:pt>
              </c:strCache>
            </c:strRef>
          </c:tx>
          <c:spPr>
            <a:solidFill>
              <a:schemeClr val="accent5"/>
            </a:solidFill>
            <a:ln>
              <a:noFill/>
            </a:ln>
            <a:effectLst/>
          </c:spPr>
          <c:invertIfNegative val="0"/>
          <c:cat>
            <c:strRef>
              <c:f>'Vannbehandling - Resultater'!$B$58</c:f>
              <c:strCache>
                <c:ptCount val="1"/>
                <c:pt idx="0">
                  <c:v>kg CO₂ ekv./år</c:v>
                </c:pt>
              </c:strCache>
            </c:strRef>
          </c:cat>
          <c:val>
            <c:numRef>
              <c:f>'Vannbehandling - Resultater'!$B$87</c:f>
              <c:numCache>
                <c:formatCode>#,##0</c:formatCode>
                <c:ptCount val="1"/>
                <c:pt idx="0">
                  <c:v>0</c:v>
                </c:pt>
              </c:numCache>
            </c:numRef>
          </c:val>
          <c:extLst>
            <c:ext xmlns:c16="http://schemas.microsoft.com/office/drawing/2014/chart" uri="{C3380CC4-5D6E-409C-BE32-E72D297353CC}">
              <c16:uniqueId val="{00000004-759F-451A-85FA-4821C70E8A26}"/>
            </c:ext>
          </c:extLst>
        </c:ser>
        <c:ser>
          <c:idx val="5"/>
          <c:order val="5"/>
          <c:tx>
            <c:strRef>
              <c:f>'Vannbehandling - Resultater'!$A$88</c:f>
              <c:strCache>
                <c:ptCount val="1"/>
                <c:pt idx="0">
                  <c:v>Skriv navn på vare her</c:v>
                </c:pt>
              </c:strCache>
            </c:strRef>
          </c:tx>
          <c:spPr>
            <a:solidFill>
              <a:schemeClr val="accent6"/>
            </a:solidFill>
            <a:ln>
              <a:noFill/>
            </a:ln>
            <a:effectLst/>
          </c:spPr>
          <c:invertIfNegative val="0"/>
          <c:cat>
            <c:strRef>
              <c:f>'Vannbehandling - Resultater'!$B$58</c:f>
              <c:strCache>
                <c:ptCount val="1"/>
                <c:pt idx="0">
                  <c:v>kg CO₂ ekv./år</c:v>
                </c:pt>
              </c:strCache>
            </c:strRef>
          </c:cat>
          <c:val>
            <c:numRef>
              <c:f>'Vannbehandling - Resultater'!$B$88</c:f>
              <c:numCache>
                <c:formatCode>#,##0</c:formatCode>
                <c:ptCount val="1"/>
                <c:pt idx="0">
                  <c:v>0</c:v>
                </c:pt>
              </c:numCache>
            </c:numRef>
          </c:val>
          <c:extLst>
            <c:ext xmlns:c16="http://schemas.microsoft.com/office/drawing/2014/chart" uri="{C3380CC4-5D6E-409C-BE32-E72D297353CC}">
              <c16:uniqueId val="{00000005-759F-451A-85FA-4821C70E8A26}"/>
            </c:ext>
          </c:extLst>
        </c:ser>
        <c:ser>
          <c:idx val="6"/>
          <c:order val="6"/>
          <c:tx>
            <c:strRef>
              <c:f>'Vannbehandling - Resultater'!$A$89</c:f>
              <c:strCache>
                <c:ptCount val="1"/>
                <c:pt idx="0">
                  <c:v>Skriv navn på vare her</c:v>
                </c:pt>
              </c:strCache>
            </c:strRef>
          </c:tx>
          <c:spPr>
            <a:solidFill>
              <a:schemeClr val="accent1">
                <a:lumMod val="60000"/>
              </a:schemeClr>
            </a:solidFill>
            <a:ln>
              <a:noFill/>
            </a:ln>
            <a:effectLst/>
          </c:spPr>
          <c:invertIfNegative val="0"/>
          <c:cat>
            <c:strRef>
              <c:f>'Vannbehandling - Resultater'!$B$58</c:f>
              <c:strCache>
                <c:ptCount val="1"/>
                <c:pt idx="0">
                  <c:v>kg CO₂ ekv./år</c:v>
                </c:pt>
              </c:strCache>
            </c:strRef>
          </c:cat>
          <c:val>
            <c:numRef>
              <c:f>'Vannbehandling - Resultater'!$B$89</c:f>
              <c:numCache>
                <c:formatCode>#,##0</c:formatCode>
                <c:ptCount val="1"/>
                <c:pt idx="0">
                  <c:v>0</c:v>
                </c:pt>
              </c:numCache>
            </c:numRef>
          </c:val>
          <c:extLst>
            <c:ext xmlns:c16="http://schemas.microsoft.com/office/drawing/2014/chart" uri="{C3380CC4-5D6E-409C-BE32-E72D297353CC}">
              <c16:uniqueId val="{00000006-759F-451A-85FA-4821C70E8A26}"/>
            </c:ext>
          </c:extLst>
        </c:ser>
        <c:ser>
          <c:idx val="7"/>
          <c:order val="7"/>
          <c:tx>
            <c:strRef>
              <c:f>'Vannbehandling - Resultater'!$A$90</c:f>
              <c:strCache>
                <c:ptCount val="1"/>
                <c:pt idx="0">
                  <c:v>Skriv navn på vare her</c:v>
                </c:pt>
              </c:strCache>
            </c:strRef>
          </c:tx>
          <c:spPr>
            <a:solidFill>
              <a:schemeClr val="accent2">
                <a:lumMod val="60000"/>
              </a:schemeClr>
            </a:solidFill>
            <a:ln>
              <a:noFill/>
            </a:ln>
            <a:effectLst/>
          </c:spPr>
          <c:invertIfNegative val="0"/>
          <c:cat>
            <c:strRef>
              <c:f>'Vannbehandling - Resultater'!$B$58</c:f>
              <c:strCache>
                <c:ptCount val="1"/>
                <c:pt idx="0">
                  <c:v>kg CO₂ ekv./år</c:v>
                </c:pt>
              </c:strCache>
            </c:strRef>
          </c:cat>
          <c:val>
            <c:numRef>
              <c:f>'Vannbehandling - Resultater'!$B$90</c:f>
              <c:numCache>
                <c:formatCode>#,##0</c:formatCode>
                <c:ptCount val="1"/>
                <c:pt idx="0">
                  <c:v>0</c:v>
                </c:pt>
              </c:numCache>
            </c:numRef>
          </c:val>
          <c:extLst>
            <c:ext xmlns:c16="http://schemas.microsoft.com/office/drawing/2014/chart" uri="{C3380CC4-5D6E-409C-BE32-E72D297353CC}">
              <c16:uniqueId val="{00000007-759F-451A-85FA-4821C70E8A26}"/>
            </c:ext>
          </c:extLst>
        </c:ser>
        <c:ser>
          <c:idx val="8"/>
          <c:order val="8"/>
          <c:tx>
            <c:strRef>
              <c:f>'Vannbehandling - Resultater'!$A$91</c:f>
              <c:strCache>
                <c:ptCount val="1"/>
                <c:pt idx="0">
                  <c:v>Skriv navn på vare her</c:v>
                </c:pt>
              </c:strCache>
            </c:strRef>
          </c:tx>
          <c:spPr>
            <a:solidFill>
              <a:schemeClr val="accent3">
                <a:lumMod val="60000"/>
              </a:schemeClr>
            </a:solidFill>
            <a:ln>
              <a:noFill/>
            </a:ln>
            <a:effectLst/>
          </c:spPr>
          <c:invertIfNegative val="0"/>
          <c:cat>
            <c:strRef>
              <c:f>'Vannbehandling - Resultater'!$B$58</c:f>
              <c:strCache>
                <c:ptCount val="1"/>
                <c:pt idx="0">
                  <c:v>kg CO₂ ekv./år</c:v>
                </c:pt>
              </c:strCache>
            </c:strRef>
          </c:cat>
          <c:val>
            <c:numRef>
              <c:f>'Vannbehandling - Resultater'!$B$91</c:f>
              <c:numCache>
                <c:formatCode>#,##0</c:formatCode>
                <c:ptCount val="1"/>
                <c:pt idx="0">
                  <c:v>0</c:v>
                </c:pt>
              </c:numCache>
            </c:numRef>
          </c:val>
          <c:extLst>
            <c:ext xmlns:c16="http://schemas.microsoft.com/office/drawing/2014/chart" uri="{C3380CC4-5D6E-409C-BE32-E72D297353CC}">
              <c16:uniqueId val="{00000008-759F-451A-85FA-4821C70E8A26}"/>
            </c:ext>
          </c:extLst>
        </c:ser>
        <c:ser>
          <c:idx val="9"/>
          <c:order val="9"/>
          <c:tx>
            <c:strRef>
              <c:f>'Vannbehandling - Resultater'!$A$92</c:f>
              <c:strCache>
                <c:ptCount val="1"/>
                <c:pt idx="0">
                  <c:v>Skriv navn på vare her</c:v>
                </c:pt>
              </c:strCache>
            </c:strRef>
          </c:tx>
          <c:spPr>
            <a:solidFill>
              <a:schemeClr val="accent4">
                <a:lumMod val="60000"/>
              </a:schemeClr>
            </a:solidFill>
            <a:ln>
              <a:noFill/>
            </a:ln>
            <a:effectLst/>
          </c:spPr>
          <c:invertIfNegative val="0"/>
          <c:cat>
            <c:strRef>
              <c:f>'Vannbehandling - Resultater'!$B$58</c:f>
              <c:strCache>
                <c:ptCount val="1"/>
                <c:pt idx="0">
                  <c:v>kg CO₂ ekv./år</c:v>
                </c:pt>
              </c:strCache>
            </c:strRef>
          </c:cat>
          <c:val>
            <c:numRef>
              <c:f>'Vannbehandling - Resultater'!$B$92</c:f>
              <c:numCache>
                <c:formatCode>#,##0</c:formatCode>
                <c:ptCount val="1"/>
                <c:pt idx="0">
                  <c:v>0</c:v>
                </c:pt>
              </c:numCache>
            </c:numRef>
          </c:val>
          <c:extLst>
            <c:ext xmlns:c16="http://schemas.microsoft.com/office/drawing/2014/chart" uri="{C3380CC4-5D6E-409C-BE32-E72D297353CC}">
              <c16:uniqueId val="{00000009-759F-451A-85FA-4821C70E8A26}"/>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layout>
        <c:manualLayout>
          <c:xMode val="edge"/>
          <c:yMode val="edge"/>
          <c:x val="6.2338499813121867E-2"/>
          <c:y val="0.51078739050134025"/>
          <c:w val="0.88144359087494872"/>
          <c:h val="0.489212609498659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nb-NO"/>
        </a:p>
      </c:txPr>
    </c:title>
    <c:autoTitleDeleted val="0"/>
    <c:plotArea>
      <c:layout/>
      <c:barChart>
        <c:barDir val="col"/>
        <c:grouping val="clustered"/>
        <c:varyColors val="0"/>
        <c:ser>
          <c:idx val="0"/>
          <c:order val="0"/>
          <c:tx>
            <c:strRef>
              <c:f>'Avløpsbehandling-Resultater'!$B$3</c:f>
              <c:strCache>
                <c:ptCount val="1"/>
                <c:pt idx="0">
                  <c:v>kg CO₂ ekv./år</c:v>
                </c:pt>
              </c:strCache>
            </c:strRef>
          </c:tx>
          <c:spPr>
            <a:solidFill>
              <a:schemeClr val="accent1"/>
            </a:solidFill>
            <a:ln>
              <a:noFill/>
            </a:ln>
            <a:effectLst/>
          </c:spPr>
          <c:invertIfNegative val="0"/>
          <c:cat>
            <c:strRef>
              <c:f>'Avløpsbehandling-Resultater'!$A$4:$A$11</c:f>
              <c:strCache>
                <c:ptCount val="8"/>
                <c:pt idx="0">
                  <c:v>Energi</c:v>
                </c:pt>
                <c:pt idx="1">
                  <c:v>Filtermasser</c:v>
                </c:pt>
                <c:pt idx="2">
                  <c:v>Kjemikalier - felling</c:v>
                </c:pt>
                <c:pt idx="3">
                  <c:v>Karbonkilder</c:v>
                </c:pt>
                <c:pt idx="4">
                  <c:v>Kjemikalier – pH-justering/korrosjonskontroll</c:v>
                </c:pt>
                <c:pt idx="5">
                  <c:v>Andre kjemikalier og forbruksvarer</c:v>
                </c:pt>
                <c:pt idx="6">
                  <c:v>Transport</c:v>
                </c:pt>
                <c:pt idx="7">
                  <c:v>Metan og Lystgassutslipp</c:v>
                </c:pt>
              </c:strCache>
            </c:strRef>
          </c:cat>
          <c:val>
            <c:numRef>
              <c:f>'Avløpsbehandling-Resultater'!$B$4:$B$11</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EAD7-4E16-8BF8-B464B44A6474}"/>
            </c:ext>
          </c:extLst>
        </c:ser>
        <c:dLbls>
          <c:showLegendKey val="0"/>
          <c:showVal val="0"/>
          <c:showCatName val="0"/>
          <c:showSerName val="0"/>
          <c:showPercent val="0"/>
          <c:showBubbleSize val="0"/>
        </c:dLbls>
        <c:gapWidth val="219"/>
        <c:overlap val="-27"/>
        <c:axId val="656369800"/>
        <c:axId val="656370128"/>
      </c:barChart>
      <c:catAx>
        <c:axId val="65636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70128"/>
        <c:crosses val="autoZero"/>
        <c:auto val="1"/>
        <c:lblAlgn val="ctr"/>
        <c:lblOffset val="100"/>
        <c:noMultiLvlLbl val="0"/>
      </c:catAx>
      <c:valAx>
        <c:axId val="656370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6980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649969816655488"/>
          <c:y val="0.1947962880880868"/>
          <c:w val="0.81843208599029449"/>
          <c:h val="0.47681869339651572"/>
        </c:manualLayout>
      </c:layout>
      <c:barChart>
        <c:barDir val="bar"/>
        <c:grouping val="percentStacked"/>
        <c:varyColors val="0"/>
        <c:ser>
          <c:idx val="0"/>
          <c:order val="0"/>
          <c:tx>
            <c:strRef>
              <c:f>'Avløpsbehandling-Resultater'!$A$16</c:f>
              <c:strCache>
                <c:ptCount val="1"/>
                <c:pt idx="0">
                  <c:v>Elektrisitet, Norsk forbruksmiks</c:v>
                </c:pt>
              </c:strCache>
            </c:strRef>
          </c:tx>
          <c:spPr>
            <a:solidFill>
              <a:schemeClr val="accent1"/>
            </a:solidFill>
            <a:ln>
              <a:noFill/>
            </a:ln>
            <a:effectLst/>
          </c:spPr>
          <c:invertIfNegative val="0"/>
          <c:cat>
            <c:strRef>
              <c:f>'Avløpsbehandling-Resultater'!$B$15</c:f>
              <c:strCache>
                <c:ptCount val="1"/>
                <c:pt idx="0">
                  <c:v>kg CO₂ ekv./år</c:v>
                </c:pt>
              </c:strCache>
            </c:strRef>
          </c:cat>
          <c:val>
            <c:numRef>
              <c:f>'Avløpsbehandling-Resultater'!$B$16</c:f>
              <c:numCache>
                <c:formatCode>#,##0</c:formatCode>
                <c:ptCount val="1"/>
                <c:pt idx="0">
                  <c:v>0</c:v>
                </c:pt>
              </c:numCache>
            </c:numRef>
          </c:val>
          <c:extLst>
            <c:ext xmlns:c16="http://schemas.microsoft.com/office/drawing/2014/chart" uri="{C3380CC4-5D6E-409C-BE32-E72D297353CC}">
              <c16:uniqueId val="{00000000-EE74-458B-858B-717A4934C42B}"/>
            </c:ext>
          </c:extLst>
        </c:ser>
        <c:ser>
          <c:idx val="2"/>
          <c:order val="1"/>
          <c:tx>
            <c:strRef>
              <c:f>'Avløpsbehandling-Resultater'!$A$17</c:f>
              <c:strCache>
                <c:ptCount val="1"/>
                <c:pt idx="0">
                  <c:v>Fjernvarme</c:v>
                </c:pt>
              </c:strCache>
            </c:strRef>
          </c:tx>
          <c:spPr>
            <a:solidFill>
              <a:schemeClr val="accent3"/>
            </a:solidFill>
            <a:ln>
              <a:noFill/>
            </a:ln>
            <a:effectLst/>
          </c:spPr>
          <c:invertIfNegative val="0"/>
          <c:cat>
            <c:strRef>
              <c:f>'Avløpsbehandling-Resultater'!$B$15</c:f>
              <c:strCache>
                <c:ptCount val="1"/>
                <c:pt idx="0">
                  <c:v>kg CO₂ ekv./år</c:v>
                </c:pt>
              </c:strCache>
            </c:strRef>
          </c:cat>
          <c:val>
            <c:numRef>
              <c:f>'Avløpsbehandling-Resultater'!$B$17</c:f>
              <c:numCache>
                <c:formatCode>#,##0</c:formatCode>
                <c:ptCount val="1"/>
                <c:pt idx="0">
                  <c:v>0</c:v>
                </c:pt>
              </c:numCache>
            </c:numRef>
          </c:val>
          <c:extLst>
            <c:ext xmlns:c16="http://schemas.microsoft.com/office/drawing/2014/chart" uri="{C3380CC4-5D6E-409C-BE32-E72D297353CC}">
              <c16:uniqueId val="{00000002-EE74-458B-858B-717A4934C42B}"/>
            </c:ext>
          </c:extLst>
        </c:ser>
        <c:ser>
          <c:idx val="3"/>
          <c:order val="2"/>
          <c:tx>
            <c:strRef>
              <c:f>'Avløpsbehandling-Resultater'!$A$18</c:f>
              <c:strCache>
                <c:ptCount val="1"/>
                <c:pt idx="0">
                  <c:v>Naturgassfyring</c:v>
                </c:pt>
              </c:strCache>
            </c:strRef>
          </c:tx>
          <c:spPr>
            <a:solidFill>
              <a:schemeClr val="accent4"/>
            </a:solidFill>
            <a:ln>
              <a:noFill/>
            </a:ln>
            <a:effectLst/>
          </c:spPr>
          <c:invertIfNegative val="0"/>
          <c:cat>
            <c:strRef>
              <c:f>'Avløpsbehandling-Resultater'!$B$15</c:f>
              <c:strCache>
                <c:ptCount val="1"/>
                <c:pt idx="0">
                  <c:v>kg CO₂ ekv./år</c:v>
                </c:pt>
              </c:strCache>
            </c:strRef>
          </c:cat>
          <c:val>
            <c:numRef>
              <c:f>'Avløpsbehandling-Resultater'!$B$18</c:f>
              <c:numCache>
                <c:formatCode>#,##0</c:formatCode>
                <c:ptCount val="1"/>
                <c:pt idx="0">
                  <c:v>0</c:v>
                </c:pt>
              </c:numCache>
            </c:numRef>
          </c:val>
          <c:extLst>
            <c:ext xmlns:c16="http://schemas.microsoft.com/office/drawing/2014/chart" uri="{C3380CC4-5D6E-409C-BE32-E72D297353CC}">
              <c16:uniqueId val="{00000003-EE74-458B-858B-717A4934C42B}"/>
            </c:ext>
          </c:extLst>
        </c:ser>
        <c:ser>
          <c:idx val="4"/>
          <c:order val="3"/>
          <c:tx>
            <c:strRef>
              <c:f>'Avløpsbehandling-Resultater'!$A$20</c:f>
              <c:strCache>
                <c:ptCount val="1"/>
                <c:pt idx="0">
                  <c:v>Oljefyring</c:v>
                </c:pt>
              </c:strCache>
            </c:strRef>
          </c:tx>
          <c:spPr>
            <a:solidFill>
              <a:schemeClr val="accent5"/>
            </a:solidFill>
            <a:ln>
              <a:noFill/>
            </a:ln>
            <a:effectLst/>
          </c:spPr>
          <c:invertIfNegative val="0"/>
          <c:cat>
            <c:strRef>
              <c:f>'Avløpsbehandling-Resultater'!$B$15</c:f>
              <c:strCache>
                <c:ptCount val="1"/>
                <c:pt idx="0">
                  <c:v>kg CO₂ ekv./år</c:v>
                </c:pt>
              </c:strCache>
            </c:strRef>
          </c:cat>
          <c:val>
            <c:numRef>
              <c:f>'Avløpsbehandling-Resultater'!$B$20</c:f>
              <c:numCache>
                <c:formatCode>#,##0</c:formatCode>
                <c:ptCount val="1"/>
                <c:pt idx="0">
                  <c:v>0</c:v>
                </c:pt>
              </c:numCache>
            </c:numRef>
          </c:val>
          <c:extLst>
            <c:ext xmlns:c16="http://schemas.microsoft.com/office/drawing/2014/chart" uri="{C3380CC4-5D6E-409C-BE32-E72D297353CC}">
              <c16:uniqueId val="{00000004-EE74-458B-858B-717A4934C42B}"/>
            </c:ext>
          </c:extLst>
        </c:ser>
        <c:ser>
          <c:idx val="5"/>
          <c:order val="4"/>
          <c:tx>
            <c:strRef>
              <c:f>'Avløpsbehandling-Resultater'!$A$21</c:f>
              <c:strCache>
                <c:ptCount val="1"/>
                <c:pt idx="0">
                  <c:v>Pelletsfyring</c:v>
                </c:pt>
              </c:strCache>
            </c:strRef>
          </c:tx>
          <c:spPr>
            <a:solidFill>
              <a:schemeClr val="accent6"/>
            </a:solidFill>
            <a:ln>
              <a:noFill/>
            </a:ln>
            <a:effectLst/>
          </c:spPr>
          <c:invertIfNegative val="0"/>
          <c:cat>
            <c:strRef>
              <c:f>'Avløpsbehandling-Resultater'!$B$15</c:f>
              <c:strCache>
                <c:ptCount val="1"/>
                <c:pt idx="0">
                  <c:v>kg CO₂ ekv./år</c:v>
                </c:pt>
              </c:strCache>
            </c:strRef>
          </c:cat>
          <c:val>
            <c:numRef>
              <c:f>'Avløpsbehandling-Resultater'!$B$21</c:f>
              <c:numCache>
                <c:formatCode>#,##0</c:formatCode>
                <c:ptCount val="1"/>
                <c:pt idx="0">
                  <c:v>0</c:v>
                </c:pt>
              </c:numCache>
            </c:numRef>
          </c:val>
          <c:extLst>
            <c:ext xmlns:c16="http://schemas.microsoft.com/office/drawing/2014/chart" uri="{C3380CC4-5D6E-409C-BE32-E72D297353CC}">
              <c16:uniqueId val="{00000005-EE74-458B-858B-717A4934C42B}"/>
            </c:ext>
          </c:extLst>
        </c:ser>
        <c:dLbls>
          <c:showLegendKey val="0"/>
          <c:showVal val="0"/>
          <c:showCatName val="0"/>
          <c:showSerName val="0"/>
          <c:showPercent val="0"/>
          <c:showBubbleSize val="0"/>
        </c:dLbls>
        <c:gapWidth val="150"/>
        <c:overlap val="100"/>
        <c:axId val="789187704"/>
        <c:axId val="789187376"/>
      </c:barChart>
      <c:catAx>
        <c:axId val="789187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376"/>
        <c:crosses val="autoZero"/>
        <c:auto val="1"/>
        <c:lblAlgn val="ctr"/>
        <c:lblOffset val="100"/>
        <c:noMultiLvlLbl val="0"/>
      </c:catAx>
      <c:valAx>
        <c:axId val="789187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70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'Avløpsbehandling-Resultater'!$A$25</c:f>
              <c:strCache>
                <c:ptCount val="1"/>
                <c:pt idx="0">
                  <c:v>Filtralite</c:v>
                </c:pt>
              </c:strCache>
            </c:strRef>
          </c:tx>
          <c:spPr>
            <a:solidFill>
              <a:schemeClr val="accent1"/>
            </a:solidFill>
            <a:ln>
              <a:noFill/>
            </a:ln>
            <a:effectLst/>
          </c:spPr>
          <c:invertIfNegative val="0"/>
          <c:cat>
            <c:strRef>
              <c:f>'Avløpsbehandling-Resultater'!$B$24</c:f>
              <c:strCache>
                <c:ptCount val="1"/>
                <c:pt idx="0">
                  <c:v>kg CO₂ ekv./år</c:v>
                </c:pt>
              </c:strCache>
            </c:strRef>
          </c:cat>
          <c:val>
            <c:numRef>
              <c:f>'Avløpsbehandling-Resultater'!$B$25</c:f>
              <c:numCache>
                <c:formatCode>#,##0</c:formatCode>
                <c:ptCount val="1"/>
                <c:pt idx="0">
                  <c:v>0</c:v>
                </c:pt>
              </c:numCache>
            </c:numRef>
          </c:val>
          <c:extLst>
            <c:ext xmlns:c16="http://schemas.microsoft.com/office/drawing/2014/chart" uri="{C3380CC4-5D6E-409C-BE32-E72D297353CC}">
              <c16:uniqueId val="{00000000-D4C7-43E7-A22C-CC47DB589D9A}"/>
            </c:ext>
          </c:extLst>
        </c:ser>
        <c:ser>
          <c:idx val="1"/>
          <c:order val="1"/>
          <c:tx>
            <c:strRef>
              <c:f>'Avløpsbehandling-Resultater'!$A$26</c:f>
              <c:strCache>
                <c:ptCount val="1"/>
                <c:pt idx="0">
                  <c:v>Antrasitt</c:v>
                </c:pt>
              </c:strCache>
            </c:strRef>
          </c:tx>
          <c:spPr>
            <a:solidFill>
              <a:schemeClr val="accent2"/>
            </a:solidFill>
            <a:ln>
              <a:noFill/>
            </a:ln>
            <a:effectLst/>
          </c:spPr>
          <c:invertIfNegative val="0"/>
          <c:cat>
            <c:strRef>
              <c:f>'Avløpsbehandling-Resultater'!$B$24</c:f>
              <c:strCache>
                <c:ptCount val="1"/>
                <c:pt idx="0">
                  <c:v>kg CO₂ ekv./år</c:v>
                </c:pt>
              </c:strCache>
            </c:strRef>
          </c:cat>
          <c:val>
            <c:numRef>
              <c:f>'Avløpsbehandling-Resultater'!$B$26</c:f>
              <c:numCache>
                <c:formatCode>#,##0</c:formatCode>
                <c:ptCount val="1"/>
                <c:pt idx="0">
                  <c:v>0</c:v>
                </c:pt>
              </c:numCache>
            </c:numRef>
          </c:val>
          <c:extLst>
            <c:ext xmlns:c16="http://schemas.microsoft.com/office/drawing/2014/chart" uri="{C3380CC4-5D6E-409C-BE32-E72D297353CC}">
              <c16:uniqueId val="{00000001-D4C7-43E7-A22C-CC47DB589D9A}"/>
            </c:ext>
          </c:extLst>
        </c:ser>
        <c:ser>
          <c:idx val="2"/>
          <c:order val="2"/>
          <c:tx>
            <c:strRef>
              <c:f>'Avløpsbehandling-Resultater'!$A$27</c:f>
              <c:strCache>
                <c:ptCount val="1"/>
                <c:pt idx="0">
                  <c:v>Kvarts</c:v>
                </c:pt>
              </c:strCache>
            </c:strRef>
          </c:tx>
          <c:spPr>
            <a:solidFill>
              <a:schemeClr val="accent3"/>
            </a:solidFill>
            <a:ln>
              <a:noFill/>
            </a:ln>
            <a:effectLst/>
          </c:spPr>
          <c:invertIfNegative val="0"/>
          <c:cat>
            <c:strRef>
              <c:f>'Avløpsbehandling-Resultater'!$B$24</c:f>
              <c:strCache>
                <c:ptCount val="1"/>
                <c:pt idx="0">
                  <c:v>kg CO₂ ekv./år</c:v>
                </c:pt>
              </c:strCache>
            </c:strRef>
          </c:cat>
          <c:val>
            <c:numRef>
              <c:f>'Avløpsbehandling-Resultater'!$B$27</c:f>
              <c:numCache>
                <c:formatCode>#,##0</c:formatCode>
                <c:ptCount val="1"/>
                <c:pt idx="0">
                  <c:v>0</c:v>
                </c:pt>
              </c:numCache>
            </c:numRef>
          </c:val>
          <c:extLst>
            <c:ext xmlns:c16="http://schemas.microsoft.com/office/drawing/2014/chart" uri="{C3380CC4-5D6E-409C-BE32-E72D297353CC}">
              <c16:uniqueId val="{00000002-D4C7-43E7-A22C-CC47DB589D9A}"/>
            </c:ext>
          </c:extLst>
        </c:ser>
        <c:ser>
          <c:idx val="3"/>
          <c:order val="3"/>
          <c:tx>
            <c:strRef>
              <c:f>'Avløpsbehandling-Resultater'!$A$28</c:f>
              <c:strCache>
                <c:ptCount val="1"/>
                <c:pt idx="0">
                  <c:v>Marmor</c:v>
                </c:pt>
              </c:strCache>
            </c:strRef>
          </c:tx>
          <c:spPr>
            <a:solidFill>
              <a:schemeClr val="accent4"/>
            </a:solidFill>
            <a:ln>
              <a:noFill/>
            </a:ln>
            <a:effectLst/>
          </c:spPr>
          <c:invertIfNegative val="0"/>
          <c:cat>
            <c:strRef>
              <c:f>'Avløpsbehandling-Resultater'!$B$24</c:f>
              <c:strCache>
                <c:ptCount val="1"/>
                <c:pt idx="0">
                  <c:v>kg CO₂ ekv./år</c:v>
                </c:pt>
              </c:strCache>
            </c:strRef>
          </c:cat>
          <c:val>
            <c:numRef>
              <c:f>'Avløpsbehandling-Resultater'!$B$28</c:f>
              <c:numCache>
                <c:formatCode>#,##0</c:formatCode>
                <c:ptCount val="1"/>
                <c:pt idx="0">
                  <c:v>0</c:v>
                </c:pt>
              </c:numCache>
            </c:numRef>
          </c:val>
          <c:extLst>
            <c:ext xmlns:c16="http://schemas.microsoft.com/office/drawing/2014/chart" uri="{C3380CC4-5D6E-409C-BE32-E72D297353CC}">
              <c16:uniqueId val="{00000003-D4C7-43E7-A22C-CC47DB589D9A}"/>
            </c:ext>
          </c:extLst>
        </c:ser>
        <c:ser>
          <c:idx val="4"/>
          <c:order val="4"/>
          <c:tx>
            <c:strRef>
              <c:f>'Avløpsbehandling-Resultater'!$A$29</c:f>
              <c:strCache>
                <c:ptCount val="1"/>
                <c:pt idx="0">
                  <c:v>Mikronisert marmor </c:v>
                </c:pt>
              </c:strCache>
            </c:strRef>
          </c:tx>
          <c:spPr>
            <a:solidFill>
              <a:schemeClr val="accent5"/>
            </a:solidFill>
            <a:ln>
              <a:noFill/>
            </a:ln>
            <a:effectLst/>
          </c:spPr>
          <c:invertIfNegative val="0"/>
          <c:cat>
            <c:strRef>
              <c:f>'Avløpsbehandling-Resultater'!$B$24</c:f>
              <c:strCache>
                <c:ptCount val="1"/>
                <c:pt idx="0">
                  <c:v>kg CO₂ ekv./år</c:v>
                </c:pt>
              </c:strCache>
            </c:strRef>
          </c:cat>
          <c:val>
            <c:numRef>
              <c:f>'Avløpsbehandling-Resultater'!$B$29</c:f>
              <c:numCache>
                <c:formatCode>#,##0</c:formatCode>
                <c:ptCount val="1"/>
                <c:pt idx="0">
                  <c:v>0</c:v>
                </c:pt>
              </c:numCache>
            </c:numRef>
          </c:val>
          <c:extLst>
            <c:ext xmlns:c16="http://schemas.microsoft.com/office/drawing/2014/chart" uri="{C3380CC4-5D6E-409C-BE32-E72D297353CC}">
              <c16:uniqueId val="{00000000-CB40-4224-92B5-E1AC87A6603A}"/>
            </c:ext>
          </c:extLst>
        </c:ser>
        <c:dLbls>
          <c:showLegendKey val="0"/>
          <c:showVal val="0"/>
          <c:showCatName val="0"/>
          <c:showSerName val="0"/>
          <c:showPercent val="0"/>
          <c:showBubbleSize val="0"/>
        </c:dLbls>
        <c:gapWidth val="150"/>
        <c:overlap val="100"/>
        <c:axId val="753771744"/>
        <c:axId val="753773712"/>
      </c:barChart>
      <c:catAx>
        <c:axId val="753771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712"/>
        <c:crosses val="autoZero"/>
        <c:auto val="1"/>
        <c:lblAlgn val="ctr"/>
        <c:lblOffset val="100"/>
        <c:noMultiLvlLbl val="0"/>
      </c:catAx>
      <c:valAx>
        <c:axId val="753773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174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3"/>
          <c:order val="0"/>
          <c:tx>
            <c:strRef>
              <c:f>'Avløpsbehandling - Input'!$C$24</c:f>
              <c:strCache>
                <c:ptCount val="1"/>
                <c:pt idx="0">
                  <c:v>ALS</c:v>
                </c:pt>
              </c:strCache>
            </c:strRef>
          </c:tx>
          <c:spPr>
            <a:solidFill>
              <a:schemeClr val="accent4"/>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'Avløpsbehandling-Resultater'!$B$33</c15:sqref>
                  </c15:fullRef>
                </c:ext>
              </c:extLst>
              <c:f>'Avløpsbehandling-Resultater'!$B$33</c:f>
              <c:numCache>
                <c:formatCode>#,##0</c:formatCode>
                <c:ptCount val="1"/>
                <c:pt idx="0">
                  <c:v>0</c:v>
                </c:pt>
              </c:numCache>
            </c:numRef>
          </c:val>
          <c:extLst>
            <c:ext xmlns:c16="http://schemas.microsoft.com/office/drawing/2014/chart" uri="{C3380CC4-5D6E-409C-BE32-E72D297353CC}">
              <c16:uniqueId val="{00000000-C404-48D1-B8FD-BBA7E2B31DBC}"/>
            </c:ext>
          </c:extLst>
        </c:ser>
        <c:ser>
          <c:idx val="5"/>
          <c:order val="1"/>
          <c:tx>
            <c:strRef>
              <c:f>'Avløpsbehandling - Input'!$C$25</c:f>
              <c:strCache>
                <c:ptCount val="1"/>
                <c:pt idx="0">
                  <c:v>ALG</c:v>
                </c:pt>
              </c:strCache>
            </c:strRef>
          </c:tx>
          <c:spPr>
            <a:solidFill>
              <a:schemeClr val="accent6"/>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'Avløpsbehandling-Resultater'!$B$34</c15:sqref>
                  </c15:fullRef>
                </c:ext>
              </c:extLst>
              <c:f>'Avløpsbehandling-Resultater'!$B$34</c:f>
              <c:numCache>
                <c:formatCode>#,##0</c:formatCode>
                <c:ptCount val="1"/>
                <c:pt idx="0">
                  <c:v>0</c:v>
                </c:pt>
              </c:numCache>
            </c:numRef>
          </c:val>
          <c:extLst>
            <c:ext xmlns:c16="http://schemas.microsoft.com/office/drawing/2014/chart" uri="{C3380CC4-5D6E-409C-BE32-E72D297353CC}">
              <c16:uniqueId val="{00000001-C404-48D1-B8FD-BBA7E2B31DBC}"/>
            </c:ext>
          </c:extLst>
        </c:ser>
        <c:ser>
          <c:idx val="2"/>
          <c:order val="2"/>
          <c:tx>
            <c:strRef>
              <c:f>'Vannbehandling - Resultater'!$A$23</c:f>
              <c:strCache>
                <c:ptCount val="1"/>
                <c:pt idx="0">
                  <c:v>Jern(III)Sulfat</c:v>
                </c:pt>
              </c:strCache>
            </c:strRef>
          </c:tx>
          <c:spPr>
            <a:solidFill>
              <a:schemeClr val="accent3"/>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'Avløpsbehandling-Resultater'!$B$36:$D$36</c15:sqref>
                  </c15:fullRef>
                </c:ext>
              </c:extLst>
              <c:f>'Avløpsbehandling-Resultater'!$B$36</c:f>
              <c:numCache>
                <c:formatCode>#,##0</c:formatCode>
                <c:ptCount val="1"/>
                <c:pt idx="0">
                  <c:v>0</c:v>
                </c:pt>
              </c:numCache>
            </c:numRef>
          </c:val>
          <c:extLst>
            <c:ext xmlns:c16="http://schemas.microsoft.com/office/drawing/2014/chart" uri="{C3380CC4-5D6E-409C-BE32-E72D297353CC}">
              <c16:uniqueId val="{00000000-4F49-4DF3-8B9E-C03EC9D5B488}"/>
            </c:ext>
          </c:extLst>
        </c:ser>
        <c:ser>
          <c:idx val="4"/>
          <c:order val="3"/>
          <c:tx>
            <c:strRef>
              <c:f>'Vannbehandling - Resultater'!$A$25</c:f>
              <c:strCache>
                <c:ptCount val="1"/>
                <c:pt idx="0">
                  <c:v>PIX-118, PIX 318</c:v>
                </c:pt>
              </c:strCache>
            </c:strRef>
          </c:tx>
          <c:spPr>
            <a:solidFill>
              <a:schemeClr val="accent5"/>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'Avløpsbehandling-Resultater'!$B$38:$D$38</c15:sqref>
                  </c15:fullRef>
                </c:ext>
              </c:extLst>
              <c:f>'Avløpsbehandling-Resultater'!$B$38</c:f>
              <c:numCache>
                <c:formatCode>#,##0</c:formatCode>
                <c:ptCount val="1"/>
                <c:pt idx="0">
                  <c:v>0</c:v>
                </c:pt>
              </c:numCache>
            </c:numRef>
          </c:val>
          <c:extLst>
            <c:ext xmlns:c16="http://schemas.microsoft.com/office/drawing/2014/chart" uri="{C3380CC4-5D6E-409C-BE32-E72D297353CC}">
              <c16:uniqueId val="{00000001-4F49-4DF3-8B9E-C03EC9D5B488}"/>
            </c:ext>
          </c:extLst>
        </c:ser>
        <c:ser>
          <c:idx val="6"/>
          <c:order val="4"/>
          <c:tx>
            <c:strRef>
              <c:f>'Vannbehandling - Resultater'!$A$27</c:f>
              <c:strCache>
                <c:ptCount val="1"/>
                <c:pt idx="0">
                  <c:v>PIX-113</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'Avløpsbehandling-Resultater'!$B$40:$D$40</c15:sqref>
                  </c15:fullRef>
                </c:ext>
              </c:extLst>
              <c:f>'Avløpsbehandling-Resultater'!$B$40</c:f>
              <c:numCache>
                <c:formatCode>#,##0</c:formatCode>
                <c:ptCount val="1"/>
                <c:pt idx="0">
                  <c:v>0</c:v>
                </c:pt>
              </c:numCache>
            </c:numRef>
          </c:val>
          <c:extLst>
            <c:ext xmlns:c16="http://schemas.microsoft.com/office/drawing/2014/chart" uri="{C3380CC4-5D6E-409C-BE32-E72D297353CC}">
              <c16:uniqueId val="{00000002-4F49-4DF3-8B9E-C03EC9D5B488}"/>
            </c:ext>
          </c:extLst>
        </c:ser>
        <c:ser>
          <c:idx val="8"/>
          <c:order val="5"/>
          <c:tx>
            <c:strRef>
              <c:f>'Vannbehandling - Resultater'!$A$29</c:f>
              <c:strCache>
                <c:ptCount val="1"/>
                <c:pt idx="0">
                  <c:v>PIX-111, Plusjern S314</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'Avløpsbehandling-Resultater'!$B$42:$D$42</c15:sqref>
                  </c15:fullRef>
                </c:ext>
              </c:extLst>
              <c:f>'Avløpsbehandling-Resultater'!$B$42</c:f>
              <c:numCache>
                <c:formatCode>#,##0</c:formatCode>
                <c:ptCount val="1"/>
                <c:pt idx="0">
                  <c:v>0</c:v>
                </c:pt>
              </c:numCache>
            </c:numRef>
          </c:val>
          <c:extLst>
            <c:ext xmlns:c16="http://schemas.microsoft.com/office/drawing/2014/chart" uri="{C3380CC4-5D6E-409C-BE32-E72D297353CC}">
              <c16:uniqueId val="{00000003-4F49-4DF3-8B9E-C03EC9D5B488}"/>
            </c:ext>
          </c:extLst>
        </c:ser>
        <c:ser>
          <c:idx val="9"/>
          <c:order val="6"/>
          <c:tx>
            <c:strRef>
              <c:f>'Vannbehandling - Resultater'!$A$30</c:f>
              <c:strCache>
                <c:ptCount val="1"/>
                <c:pt idx="0">
                  <c:v>PIX-110</c:v>
                </c:pt>
              </c:strCache>
            </c:strRef>
          </c:tx>
          <c:spPr>
            <a:solidFill>
              <a:schemeClr val="accent4">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'Avløpsbehandling-Resultater'!$B$43:$D$43</c15:sqref>
                  </c15:fullRef>
                </c:ext>
              </c:extLst>
              <c:f>'Avløpsbehandling-Resultater'!$B$43</c:f>
              <c:numCache>
                <c:formatCode>#,##0</c:formatCode>
                <c:ptCount val="1"/>
                <c:pt idx="0">
                  <c:v>0</c:v>
                </c:pt>
              </c:numCache>
            </c:numRef>
          </c:val>
          <c:extLst>
            <c:ext xmlns:c16="http://schemas.microsoft.com/office/drawing/2014/chart" uri="{C3380CC4-5D6E-409C-BE32-E72D297353CC}">
              <c16:uniqueId val="{00000004-4F49-4DF3-8B9E-C03EC9D5B488}"/>
            </c:ext>
          </c:extLst>
        </c:ser>
        <c:ser>
          <c:idx val="11"/>
          <c:order val="7"/>
          <c:tx>
            <c:strRef>
              <c:f>'Vannbehandling - Resultater'!$A$32</c:f>
              <c:strCache>
                <c:ptCount val="1"/>
                <c:pt idx="0">
                  <c:v>Ekomix 1091</c:v>
                </c:pt>
              </c:strCache>
            </c:strRef>
          </c:tx>
          <c:spPr>
            <a:solidFill>
              <a:schemeClr val="accent6">
                <a:lumMod val="6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'Avløpsbehandling-Resultater'!$B$45:$D$45</c15:sqref>
                  </c15:fullRef>
                </c:ext>
              </c:extLst>
              <c:f>'Avløpsbehandling-Resultater'!$B$45</c:f>
              <c:numCache>
                <c:formatCode>#,##0</c:formatCode>
                <c:ptCount val="1"/>
                <c:pt idx="0">
                  <c:v>0</c:v>
                </c:pt>
              </c:numCache>
            </c:numRef>
          </c:val>
          <c:extLst>
            <c:ext xmlns:c16="http://schemas.microsoft.com/office/drawing/2014/chart" uri="{C3380CC4-5D6E-409C-BE32-E72D297353CC}">
              <c16:uniqueId val="{00000005-4F49-4DF3-8B9E-C03EC9D5B488}"/>
            </c:ext>
          </c:extLst>
        </c:ser>
        <c:ser>
          <c:idx val="13"/>
          <c:order val="8"/>
          <c:tx>
            <c:strRef>
              <c:f>'Vannbehandling - Resultater'!$A$34</c:f>
              <c:strCache>
                <c:ptCount val="1"/>
                <c:pt idx="0">
                  <c:v>PAX-18, Ekoflock 89</c:v>
                </c:pt>
              </c:strCache>
            </c:strRef>
          </c:tx>
          <c:spPr>
            <a:solidFill>
              <a:schemeClr val="accent2">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'Avløpsbehandling-Resultater'!$B$47:$D$47</c15:sqref>
                  </c15:fullRef>
                </c:ext>
              </c:extLst>
              <c:f>'Avløpsbehandling-Resultater'!$B$47</c:f>
              <c:numCache>
                <c:formatCode>#,##0</c:formatCode>
                <c:ptCount val="1"/>
                <c:pt idx="0">
                  <c:v>0</c:v>
                </c:pt>
              </c:numCache>
            </c:numRef>
          </c:val>
          <c:extLst>
            <c:ext xmlns:c16="http://schemas.microsoft.com/office/drawing/2014/chart" uri="{C3380CC4-5D6E-409C-BE32-E72D297353CC}">
              <c16:uniqueId val="{00000006-4F49-4DF3-8B9E-C03EC9D5B488}"/>
            </c:ext>
          </c:extLst>
        </c:ser>
        <c:ser>
          <c:idx val="14"/>
          <c:order val="9"/>
          <c:tx>
            <c:strRef>
              <c:f>'Vannbehandling - Resultater'!$A$35</c:f>
              <c:strCache>
                <c:ptCount val="1"/>
                <c:pt idx="0">
                  <c:v>PAX-15, XL61</c:v>
                </c:pt>
              </c:strCache>
            </c:strRef>
          </c:tx>
          <c:spPr>
            <a:solidFill>
              <a:schemeClr val="accent3">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'Avløpsbehandling-Resultater'!$B$48:$D$48</c15:sqref>
                  </c15:fullRef>
                </c:ext>
              </c:extLst>
              <c:f>'Avløpsbehandling-Resultater'!$B$48</c:f>
              <c:numCache>
                <c:formatCode>#,##0</c:formatCode>
                <c:ptCount val="1"/>
                <c:pt idx="0">
                  <c:v>0</c:v>
                </c:pt>
              </c:numCache>
            </c:numRef>
          </c:val>
          <c:extLst>
            <c:ext xmlns:c16="http://schemas.microsoft.com/office/drawing/2014/chart" uri="{C3380CC4-5D6E-409C-BE32-E72D297353CC}">
              <c16:uniqueId val="{00000007-4F49-4DF3-8B9E-C03EC9D5B488}"/>
            </c:ext>
          </c:extLst>
        </c:ser>
        <c:ser>
          <c:idx val="15"/>
          <c:order val="10"/>
          <c:tx>
            <c:strRef>
              <c:f>'Vannbehandling - Resultater'!$A$36</c:f>
              <c:strCache>
                <c:ptCount val="1"/>
                <c:pt idx="0">
                  <c:v>PAX-LX100</c:v>
                </c:pt>
              </c:strCache>
            </c:strRef>
          </c:tx>
          <c:spPr>
            <a:solidFill>
              <a:schemeClr val="accent4">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'Avløpsbehandling-Resultater'!$B$49:$D$49</c15:sqref>
                  </c15:fullRef>
                </c:ext>
              </c:extLst>
              <c:f>'Avløpsbehandling-Resultater'!$B$49</c:f>
              <c:numCache>
                <c:formatCode>#,##0</c:formatCode>
                <c:ptCount val="1"/>
                <c:pt idx="0">
                  <c:v>0</c:v>
                </c:pt>
              </c:numCache>
            </c:numRef>
          </c:val>
          <c:extLst>
            <c:ext xmlns:c16="http://schemas.microsoft.com/office/drawing/2014/chart" uri="{C3380CC4-5D6E-409C-BE32-E72D297353CC}">
              <c16:uniqueId val="{00000008-4F49-4DF3-8B9E-C03EC9D5B488}"/>
            </c:ext>
          </c:extLst>
        </c:ser>
        <c:ser>
          <c:idx val="16"/>
          <c:order val="11"/>
          <c:tx>
            <c:strRef>
              <c:f>'Vannbehandling - Resultater'!$A$37</c:f>
              <c:strCache>
                <c:ptCount val="1"/>
                <c:pt idx="0">
                  <c:v>PAX-215</c:v>
                </c:pt>
              </c:strCache>
            </c:strRef>
          </c:tx>
          <c:spPr>
            <a:solidFill>
              <a:schemeClr val="accent5">
                <a:lumMod val="80000"/>
                <a:lumOff val="20000"/>
              </a:schemeClr>
            </a:solidFill>
            <a:ln>
              <a:noFill/>
            </a:ln>
            <a:effectLst/>
          </c:spPr>
          <c:invertIfNegative val="0"/>
          <c:cat>
            <c:strRef>
              <c:extLst>
                <c:ext xmlns:c15="http://schemas.microsoft.com/office/drawing/2012/chart" uri="{02D57815-91ED-43cb-92C2-25804820EDAC}">
                  <c15:fullRef>
                    <c15:sqref>'Vannbehandling - Resultater'!$B$22</c15:sqref>
                  </c15:fullRef>
                </c:ext>
              </c:extLst>
              <c:f>'Vannbehandling - Resultater'!$B$22</c:f>
              <c:strCache>
                <c:ptCount val="1"/>
                <c:pt idx="0">
                  <c:v>kg CO₂ ekv./år</c:v>
                </c:pt>
              </c:strCache>
            </c:strRef>
          </c:cat>
          <c:val>
            <c:numRef>
              <c:extLst>
                <c:ext xmlns:c15="http://schemas.microsoft.com/office/drawing/2012/chart" uri="{02D57815-91ED-43cb-92C2-25804820EDAC}">
                  <c15:fullRef>
                    <c15:sqref>'Avløpsbehandling-Resultater'!$B$50:$D$50</c15:sqref>
                  </c15:fullRef>
                </c:ext>
              </c:extLst>
              <c:f>'Avløpsbehandling-Resultater'!$B$50</c:f>
              <c:numCache>
                <c:formatCode>#,##0</c:formatCode>
                <c:ptCount val="1"/>
                <c:pt idx="0">
                  <c:v>0</c:v>
                </c:pt>
              </c:numCache>
            </c:numRef>
          </c:val>
          <c:extLst>
            <c:ext xmlns:c16="http://schemas.microsoft.com/office/drawing/2014/chart" uri="{C3380CC4-5D6E-409C-BE32-E72D297353CC}">
              <c16:uniqueId val="{00000009-4F49-4DF3-8B9E-C03EC9D5B488}"/>
            </c:ext>
          </c:extLst>
        </c:ser>
        <c:ser>
          <c:idx val="0"/>
          <c:order val="12"/>
          <c:tx>
            <c:strRef>
              <c:f>'Avløpsbehandling - Input'!$C$43</c:f>
              <c:strCache>
                <c:ptCount val="1"/>
                <c:pt idx="0">
                  <c:v>Polyakrylamid</c:v>
                </c:pt>
              </c:strCache>
            </c:strRef>
          </c:tx>
          <c:spPr>
            <a:solidFill>
              <a:schemeClr val="accent1"/>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'Avløpsbehandling-Resultater'!$B$52</c15:sqref>
                  </c15:fullRef>
                </c:ext>
              </c:extLst>
              <c:f>'Avløpsbehandling-Resultater'!$B$52</c:f>
              <c:numCache>
                <c:formatCode>#,##0</c:formatCode>
                <c:ptCount val="1"/>
                <c:pt idx="0">
                  <c:v>0</c:v>
                </c:pt>
              </c:numCache>
            </c:numRef>
          </c:val>
          <c:extLst>
            <c:ext xmlns:c16="http://schemas.microsoft.com/office/drawing/2014/chart" uri="{C3380CC4-5D6E-409C-BE32-E72D297353CC}">
              <c16:uniqueId val="{00000000-467D-4857-9300-9EFE8B46CA87}"/>
            </c:ext>
          </c:extLst>
        </c:ser>
        <c:ser>
          <c:idx val="1"/>
          <c:order val="13"/>
          <c:tx>
            <c:strRef>
              <c:f>'Avløpsbehandling-Resultater'!$A$53</c:f>
              <c:strCache>
                <c:ptCount val="1"/>
                <c:pt idx="0">
                  <c:v>Zetag 8180/7550/8147</c:v>
                </c:pt>
              </c:strCache>
            </c:strRef>
          </c:tx>
          <c:spPr>
            <a:solidFill>
              <a:schemeClr val="accent2"/>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'Avløpsbehandling-Resultater'!$B$53</c15:sqref>
                  </c15:fullRef>
                </c:ext>
              </c:extLst>
              <c:f>'Avløpsbehandling-Resultater'!$B$53</c:f>
              <c:numCache>
                <c:formatCode>#,##0</c:formatCode>
                <c:ptCount val="1"/>
                <c:pt idx="0">
                  <c:v>0</c:v>
                </c:pt>
              </c:numCache>
            </c:numRef>
          </c:val>
          <c:extLst>
            <c:ext xmlns:c16="http://schemas.microsoft.com/office/drawing/2014/chart" uri="{C3380CC4-5D6E-409C-BE32-E72D297353CC}">
              <c16:uniqueId val="{00000000-48E4-4EA5-8319-9144EA219624}"/>
            </c:ext>
          </c:extLst>
        </c:ser>
        <c:dLbls>
          <c:showLegendKey val="0"/>
          <c:showVal val="0"/>
          <c:showCatName val="0"/>
          <c:showSerName val="0"/>
          <c:showPercent val="0"/>
          <c:showBubbleSize val="0"/>
        </c:dLbls>
        <c:gapWidth val="150"/>
        <c:overlap val="100"/>
        <c:axId val="759087608"/>
        <c:axId val="759090232"/>
      </c:barChart>
      <c:catAx>
        <c:axId val="759087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90232"/>
        <c:crosses val="autoZero"/>
        <c:auto val="1"/>
        <c:lblAlgn val="ctr"/>
        <c:lblOffset val="100"/>
        <c:noMultiLvlLbl val="0"/>
      </c:catAx>
      <c:valAx>
        <c:axId val="759090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87608"/>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'Avløpsbehandling-Resultater'!$A$56</c:f>
              <c:strCache>
                <c:ptCount val="1"/>
                <c:pt idx="0">
                  <c:v>Metanol</c:v>
                </c:pt>
              </c:strCache>
            </c:strRef>
          </c:tx>
          <c:spPr>
            <a:solidFill>
              <a:schemeClr val="accent1"/>
            </a:solidFill>
            <a:ln>
              <a:noFill/>
            </a:ln>
            <a:effectLst/>
          </c:spPr>
          <c:invertIfNegative val="0"/>
          <c:cat>
            <c:strRef>
              <c:f>'Avløpsbehandling-Resultater'!$B$55</c:f>
              <c:strCache>
                <c:ptCount val="1"/>
                <c:pt idx="0">
                  <c:v>kg CO₂ ekv./år</c:v>
                </c:pt>
              </c:strCache>
            </c:strRef>
          </c:cat>
          <c:val>
            <c:numRef>
              <c:f>'Avløpsbehandling-Resultater'!$B$56</c:f>
              <c:numCache>
                <c:formatCode>#,##0</c:formatCode>
                <c:ptCount val="1"/>
                <c:pt idx="0">
                  <c:v>0</c:v>
                </c:pt>
              </c:numCache>
            </c:numRef>
          </c:val>
          <c:extLst>
            <c:ext xmlns:c16="http://schemas.microsoft.com/office/drawing/2014/chart" uri="{C3380CC4-5D6E-409C-BE32-E72D297353CC}">
              <c16:uniqueId val="{00000000-75F8-40E6-B026-3B6FDEACC99B}"/>
            </c:ext>
          </c:extLst>
        </c:ser>
        <c:ser>
          <c:idx val="1"/>
          <c:order val="1"/>
          <c:tx>
            <c:strRef>
              <c:f>'Avløpsbehandling-Resultater'!$A$57</c:f>
              <c:strCache>
                <c:ptCount val="1"/>
                <c:pt idx="0">
                  <c:v>Etanol</c:v>
                </c:pt>
              </c:strCache>
            </c:strRef>
          </c:tx>
          <c:spPr>
            <a:solidFill>
              <a:schemeClr val="accent2"/>
            </a:solidFill>
            <a:ln>
              <a:noFill/>
            </a:ln>
            <a:effectLst/>
          </c:spPr>
          <c:invertIfNegative val="0"/>
          <c:cat>
            <c:strRef>
              <c:f>'Avløpsbehandling-Resultater'!$B$55</c:f>
              <c:strCache>
                <c:ptCount val="1"/>
                <c:pt idx="0">
                  <c:v>kg CO₂ ekv./år</c:v>
                </c:pt>
              </c:strCache>
            </c:strRef>
          </c:cat>
          <c:val>
            <c:numRef>
              <c:f>'Avløpsbehandling-Resultater'!$B$57</c:f>
              <c:numCache>
                <c:formatCode>#,##0</c:formatCode>
                <c:ptCount val="1"/>
                <c:pt idx="0">
                  <c:v>0</c:v>
                </c:pt>
              </c:numCache>
            </c:numRef>
          </c:val>
          <c:extLst>
            <c:ext xmlns:c16="http://schemas.microsoft.com/office/drawing/2014/chart" uri="{C3380CC4-5D6E-409C-BE32-E72D297353CC}">
              <c16:uniqueId val="{00000001-75F8-40E6-B026-3B6FDEACC99B}"/>
            </c:ext>
          </c:extLst>
        </c:ser>
        <c:ser>
          <c:idx val="2"/>
          <c:order val="2"/>
          <c:tx>
            <c:strRef>
              <c:f>'Avløpsbehandling-Resultater'!$A$58</c:f>
              <c:strCache>
                <c:ptCount val="1"/>
                <c:pt idx="0">
                  <c:v>Sekundol 70</c:v>
                </c:pt>
              </c:strCache>
            </c:strRef>
          </c:tx>
          <c:spPr>
            <a:solidFill>
              <a:schemeClr val="accent3"/>
            </a:solidFill>
            <a:ln>
              <a:noFill/>
            </a:ln>
            <a:effectLst/>
          </c:spPr>
          <c:invertIfNegative val="0"/>
          <c:cat>
            <c:strRef>
              <c:f>'Avløpsbehandling-Resultater'!$B$55</c:f>
              <c:strCache>
                <c:ptCount val="1"/>
                <c:pt idx="0">
                  <c:v>kg CO₂ ekv./år</c:v>
                </c:pt>
              </c:strCache>
            </c:strRef>
          </c:cat>
          <c:val>
            <c:numRef>
              <c:f>'Avløpsbehandling-Resultater'!$B$58</c:f>
              <c:numCache>
                <c:formatCode>#,##0</c:formatCode>
                <c:ptCount val="1"/>
                <c:pt idx="0">
                  <c:v>0</c:v>
                </c:pt>
              </c:numCache>
            </c:numRef>
          </c:val>
          <c:extLst>
            <c:ext xmlns:c16="http://schemas.microsoft.com/office/drawing/2014/chart" uri="{C3380CC4-5D6E-409C-BE32-E72D297353CC}">
              <c16:uniqueId val="{00000002-75F8-40E6-B026-3B6FDEACC99B}"/>
            </c:ext>
          </c:extLst>
        </c:ser>
        <c:ser>
          <c:idx val="3"/>
          <c:order val="3"/>
          <c:tx>
            <c:strRef>
              <c:f>'Avløpsbehandling-Resultater'!$A$59</c:f>
              <c:strCache>
                <c:ptCount val="1"/>
                <c:pt idx="0">
                  <c:v>Sekundol 85</c:v>
                </c:pt>
              </c:strCache>
            </c:strRef>
          </c:tx>
          <c:spPr>
            <a:solidFill>
              <a:schemeClr val="accent4"/>
            </a:solidFill>
            <a:ln>
              <a:noFill/>
            </a:ln>
            <a:effectLst/>
          </c:spPr>
          <c:invertIfNegative val="0"/>
          <c:cat>
            <c:strRef>
              <c:f>'Avløpsbehandling-Resultater'!$B$55</c:f>
              <c:strCache>
                <c:ptCount val="1"/>
                <c:pt idx="0">
                  <c:v>kg CO₂ ekv./år</c:v>
                </c:pt>
              </c:strCache>
            </c:strRef>
          </c:cat>
          <c:val>
            <c:numRef>
              <c:f>'Avløpsbehandling-Resultater'!$B$59</c:f>
              <c:numCache>
                <c:formatCode>#,##0</c:formatCode>
                <c:ptCount val="1"/>
                <c:pt idx="0">
                  <c:v>0</c:v>
                </c:pt>
              </c:numCache>
            </c:numRef>
          </c:val>
          <c:extLst>
            <c:ext xmlns:c16="http://schemas.microsoft.com/office/drawing/2014/chart" uri="{C3380CC4-5D6E-409C-BE32-E72D297353CC}">
              <c16:uniqueId val="{00000003-75F8-40E6-B026-3B6FDEACC99B}"/>
            </c:ext>
          </c:extLst>
        </c:ser>
        <c:ser>
          <c:idx val="4"/>
          <c:order val="4"/>
          <c:tx>
            <c:strRef>
              <c:f>'Avløpsbehandling-Resultater'!$A$60</c:f>
              <c:strCache>
                <c:ptCount val="1"/>
                <c:pt idx="0">
                  <c:v>Mosstanol</c:v>
                </c:pt>
              </c:strCache>
            </c:strRef>
          </c:tx>
          <c:spPr>
            <a:solidFill>
              <a:schemeClr val="accent5"/>
            </a:solidFill>
            <a:ln>
              <a:noFill/>
            </a:ln>
            <a:effectLst/>
          </c:spPr>
          <c:invertIfNegative val="0"/>
          <c:cat>
            <c:strRef>
              <c:f>'Avløpsbehandling-Resultater'!$B$55</c:f>
              <c:strCache>
                <c:ptCount val="1"/>
                <c:pt idx="0">
                  <c:v>kg CO₂ ekv./år</c:v>
                </c:pt>
              </c:strCache>
            </c:strRef>
          </c:cat>
          <c:val>
            <c:numRef>
              <c:f>'Avløpsbehandling-Resultater'!$B$60</c:f>
              <c:numCache>
                <c:formatCode>#,##0</c:formatCode>
                <c:ptCount val="1"/>
                <c:pt idx="0">
                  <c:v>0</c:v>
                </c:pt>
              </c:numCache>
            </c:numRef>
          </c:val>
          <c:extLst>
            <c:ext xmlns:c16="http://schemas.microsoft.com/office/drawing/2014/chart" uri="{C3380CC4-5D6E-409C-BE32-E72D297353CC}">
              <c16:uniqueId val="{00000004-75F8-40E6-B026-3B6FDEACC99B}"/>
            </c:ext>
          </c:extLst>
        </c:ser>
        <c:ser>
          <c:idx val="5"/>
          <c:order val="5"/>
          <c:tx>
            <c:strRef>
              <c:f>'Avløpsbehandling-Resultater'!$A$61</c:f>
              <c:strCache>
                <c:ptCount val="1"/>
                <c:pt idx="0">
                  <c:v>Eddiksyre</c:v>
                </c:pt>
              </c:strCache>
            </c:strRef>
          </c:tx>
          <c:spPr>
            <a:solidFill>
              <a:schemeClr val="accent6"/>
            </a:solidFill>
            <a:ln>
              <a:noFill/>
            </a:ln>
            <a:effectLst/>
          </c:spPr>
          <c:invertIfNegative val="0"/>
          <c:cat>
            <c:strRef>
              <c:f>'Avløpsbehandling-Resultater'!$B$55</c:f>
              <c:strCache>
                <c:ptCount val="1"/>
                <c:pt idx="0">
                  <c:v>kg CO₂ ekv./år</c:v>
                </c:pt>
              </c:strCache>
            </c:strRef>
          </c:cat>
          <c:val>
            <c:numRef>
              <c:f>'Avløpsbehandling-Resultater'!$B$61</c:f>
              <c:numCache>
                <c:formatCode>#,##0</c:formatCode>
                <c:ptCount val="1"/>
                <c:pt idx="0">
                  <c:v>0</c:v>
                </c:pt>
              </c:numCache>
            </c:numRef>
          </c:val>
          <c:extLst>
            <c:ext xmlns:c16="http://schemas.microsoft.com/office/drawing/2014/chart" uri="{C3380CC4-5D6E-409C-BE32-E72D297353CC}">
              <c16:uniqueId val="{00000005-75F8-40E6-B026-3B6FDEACC99B}"/>
            </c:ext>
          </c:extLst>
        </c:ser>
        <c:ser>
          <c:idx val="6"/>
          <c:order val="6"/>
          <c:tx>
            <c:strRef>
              <c:f>'Avløpsbehandling-Resultater'!$A$62</c:f>
              <c:strCache>
                <c:ptCount val="1"/>
                <c:pt idx="0">
                  <c:v>Glyserin</c:v>
                </c:pt>
              </c:strCache>
            </c:strRef>
          </c:tx>
          <c:spPr>
            <a:solidFill>
              <a:schemeClr val="accent1">
                <a:lumMod val="60000"/>
              </a:schemeClr>
            </a:solidFill>
            <a:ln>
              <a:noFill/>
            </a:ln>
            <a:effectLst/>
          </c:spPr>
          <c:invertIfNegative val="0"/>
          <c:cat>
            <c:strRef>
              <c:f>'Avløpsbehandling-Resultater'!$B$55</c:f>
              <c:strCache>
                <c:ptCount val="1"/>
                <c:pt idx="0">
                  <c:v>kg CO₂ ekv./år</c:v>
                </c:pt>
              </c:strCache>
            </c:strRef>
          </c:cat>
          <c:val>
            <c:numRef>
              <c:f>'Avløpsbehandling-Resultater'!$B$62</c:f>
              <c:numCache>
                <c:formatCode>#,##0</c:formatCode>
                <c:ptCount val="1"/>
                <c:pt idx="0">
                  <c:v>0</c:v>
                </c:pt>
              </c:numCache>
            </c:numRef>
          </c:val>
          <c:extLst>
            <c:ext xmlns:c16="http://schemas.microsoft.com/office/drawing/2014/chart" uri="{C3380CC4-5D6E-409C-BE32-E72D297353CC}">
              <c16:uniqueId val="{00000006-75F8-40E6-B026-3B6FDEACC99B}"/>
            </c:ext>
          </c:extLst>
        </c:ser>
        <c:dLbls>
          <c:showLegendKey val="0"/>
          <c:showVal val="0"/>
          <c:showCatName val="0"/>
          <c:showSerName val="0"/>
          <c:showPercent val="0"/>
          <c:showBubbleSize val="0"/>
        </c:dLbls>
        <c:gapWidth val="150"/>
        <c:overlap val="100"/>
        <c:axId val="662568040"/>
        <c:axId val="662569680"/>
      </c:barChart>
      <c:catAx>
        <c:axId val="662568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9680"/>
        <c:crosses val="autoZero"/>
        <c:auto val="1"/>
        <c:lblAlgn val="ctr"/>
        <c:lblOffset val="100"/>
        <c:noMultiLvlLbl val="0"/>
      </c:catAx>
      <c:valAx>
        <c:axId val="6625696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8040"/>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18"/>
          <c:order val="0"/>
          <c:tx>
            <c:strRef>
              <c:f>'Avløpsbehandling-Resultater'!$A$72</c:f>
              <c:strCache>
                <c:ptCount val="1"/>
                <c:pt idx="0">
                  <c:v>Ammoniakk (NH3)</c:v>
                </c:pt>
              </c:strCache>
            </c:strRef>
          </c:tx>
          <c:spPr>
            <a:solidFill>
              <a:schemeClr val="accent1">
                <a:lumMod val="80000"/>
              </a:schemeClr>
            </a:solidFill>
            <a:ln>
              <a:noFill/>
            </a:ln>
            <a:effectLst/>
          </c:spPr>
          <c:invertIfNegative val="0"/>
          <c:cat>
            <c:strRef>
              <c:f>'Avløpsbehandling-Resultater'!$B$71</c:f>
              <c:strCache>
                <c:ptCount val="1"/>
                <c:pt idx="0">
                  <c:v>kg CO₂ ekv./år</c:v>
                </c:pt>
              </c:strCache>
            </c:strRef>
          </c:cat>
          <c:val>
            <c:numRef>
              <c:f>'Avløpsbehandling-Resultater'!$B$72</c:f>
              <c:numCache>
                <c:formatCode>#,##0</c:formatCode>
                <c:ptCount val="1"/>
                <c:pt idx="0">
                  <c:v>0</c:v>
                </c:pt>
              </c:numCache>
            </c:numRef>
          </c:val>
          <c:extLst>
            <c:ext xmlns:c16="http://schemas.microsoft.com/office/drawing/2014/chart" uri="{C3380CC4-5D6E-409C-BE32-E72D297353CC}">
              <c16:uniqueId val="{00000000-4A7D-4A7B-98A2-1BF42C31631F}"/>
            </c:ext>
          </c:extLst>
        </c:ser>
        <c:ser>
          <c:idx val="0"/>
          <c:order val="1"/>
          <c:tx>
            <c:strRef>
              <c:f>'Avløpsbehandling-Resultater'!$A$73</c:f>
              <c:strCache>
                <c:ptCount val="1"/>
                <c:pt idx="0">
                  <c:v>Aktivt kull - biogen opprinnelse</c:v>
                </c:pt>
              </c:strCache>
            </c:strRef>
          </c:tx>
          <c:spPr>
            <a:solidFill>
              <a:schemeClr val="accent1"/>
            </a:solidFill>
            <a:ln>
              <a:noFill/>
            </a:ln>
            <a:effectLst/>
          </c:spPr>
          <c:invertIfNegative val="0"/>
          <c:cat>
            <c:strRef>
              <c:f>'Avløpsbehandling-Resultater'!$B$71</c:f>
              <c:strCache>
                <c:ptCount val="1"/>
                <c:pt idx="0">
                  <c:v>kg CO₂ ekv./år</c:v>
                </c:pt>
              </c:strCache>
            </c:strRef>
          </c:cat>
          <c:val>
            <c:numRef>
              <c:f>'Avløpsbehandling-Resultater'!$B$73</c:f>
              <c:numCache>
                <c:formatCode>#,##0</c:formatCode>
                <c:ptCount val="1"/>
                <c:pt idx="0">
                  <c:v>0</c:v>
                </c:pt>
              </c:numCache>
            </c:numRef>
          </c:val>
          <c:extLst>
            <c:ext xmlns:c16="http://schemas.microsoft.com/office/drawing/2014/chart" uri="{C3380CC4-5D6E-409C-BE32-E72D297353CC}">
              <c16:uniqueId val="{00000000-E879-48D4-A0F4-4E90E343BF88}"/>
            </c:ext>
          </c:extLst>
        </c:ser>
        <c:ser>
          <c:idx val="1"/>
          <c:order val="2"/>
          <c:tx>
            <c:strRef>
              <c:f>'Avløpsbehandling-Resultater'!$A$74</c:f>
              <c:strCache>
                <c:ptCount val="1"/>
                <c:pt idx="0">
                  <c:v>Aktivt kull - fossil opprinnelse</c:v>
                </c:pt>
              </c:strCache>
            </c:strRef>
          </c:tx>
          <c:spPr>
            <a:solidFill>
              <a:schemeClr val="accent2"/>
            </a:solidFill>
            <a:ln>
              <a:noFill/>
            </a:ln>
            <a:effectLst/>
          </c:spPr>
          <c:invertIfNegative val="0"/>
          <c:cat>
            <c:strRef>
              <c:f>'Avløpsbehandling-Resultater'!$B$71</c:f>
              <c:strCache>
                <c:ptCount val="1"/>
                <c:pt idx="0">
                  <c:v>kg CO₂ ekv./år</c:v>
                </c:pt>
              </c:strCache>
            </c:strRef>
          </c:cat>
          <c:val>
            <c:numRef>
              <c:f>'Avløpsbehandling-Resultater'!$B$74</c:f>
              <c:numCache>
                <c:formatCode>#,##0</c:formatCode>
                <c:ptCount val="1"/>
                <c:pt idx="0">
                  <c:v>0</c:v>
                </c:pt>
              </c:numCache>
            </c:numRef>
          </c:val>
          <c:extLst>
            <c:ext xmlns:c16="http://schemas.microsoft.com/office/drawing/2014/chart" uri="{C3380CC4-5D6E-409C-BE32-E72D297353CC}">
              <c16:uniqueId val="{00000001-E879-48D4-A0F4-4E90E343BF88}"/>
            </c:ext>
          </c:extLst>
        </c:ser>
        <c:ser>
          <c:idx val="2"/>
          <c:order val="3"/>
          <c:tx>
            <c:strRef>
              <c:f>'Avløpsbehandling-Resultater'!$A$75</c:f>
              <c:strCache>
                <c:ptCount val="1"/>
                <c:pt idx="0">
                  <c:v>Aktivt kull - regenerert</c:v>
                </c:pt>
              </c:strCache>
            </c:strRef>
          </c:tx>
          <c:spPr>
            <a:solidFill>
              <a:schemeClr val="accent3"/>
            </a:solidFill>
            <a:ln>
              <a:noFill/>
            </a:ln>
            <a:effectLst/>
          </c:spPr>
          <c:invertIfNegative val="0"/>
          <c:cat>
            <c:strRef>
              <c:f>'Avløpsbehandling-Resultater'!$B$71</c:f>
              <c:strCache>
                <c:ptCount val="1"/>
                <c:pt idx="0">
                  <c:v>kg CO₂ ekv./år</c:v>
                </c:pt>
              </c:strCache>
            </c:strRef>
          </c:cat>
          <c:val>
            <c:numRef>
              <c:f>'Avløpsbehandling-Resultater'!$B$75</c:f>
              <c:numCache>
                <c:formatCode>#,##0</c:formatCode>
                <c:ptCount val="1"/>
                <c:pt idx="0">
                  <c:v>0</c:v>
                </c:pt>
              </c:numCache>
            </c:numRef>
          </c:val>
          <c:extLst>
            <c:ext xmlns:c16="http://schemas.microsoft.com/office/drawing/2014/chart" uri="{C3380CC4-5D6E-409C-BE32-E72D297353CC}">
              <c16:uniqueId val="{00000002-E879-48D4-A0F4-4E90E343BF88}"/>
            </c:ext>
          </c:extLst>
        </c:ser>
        <c:ser>
          <c:idx val="3"/>
          <c:order val="4"/>
          <c:tx>
            <c:strRef>
              <c:f>'Avløpsbehandling-Resultater'!$A$76</c:f>
              <c:strCache>
                <c:ptCount val="1"/>
                <c:pt idx="0">
                  <c:v>Sitronsyre</c:v>
                </c:pt>
              </c:strCache>
            </c:strRef>
          </c:tx>
          <c:spPr>
            <a:solidFill>
              <a:schemeClr val="accent4"/>
            </a:solidFill>
            <a:ln>
              <a:noFill/>
            </a:ln>
            <a:effectLst/>
          </c:spPr>
          <c:invertIfNegative val="0"/>
          <c:cat>
            <c:strRef>
              <c:f>'Avløpsbehandling-Resultater'!$B$71</c:f>
              <c:strCache>
                <c:ptCount val="1"/>
                <c:pt idx="0">
                  <c:v>kg CO₂ ekv./år</c:v>
                </c:pt>
              </c:strCache>
            </c:strRef>
          </c:cat>
          <c:val>
            <c:numRef>
              <c:f>'Avløpsbehandling-Resultater'!$B$76</c:f>
              <c:numCache>
                <c:formatCode>#,##0</c:formatCode>
                <c:ptCount val="1"/>
                <c:pt idx="0">
                  <c:v>0</c:v>
                </c:pt>
              </c:numCache>
            </c:numRef>
          </c:val>
          <c:extLst>
            <c:ext xmlns:c16="http://schemas.microsoft.com/office/drawing/2014/chart" uri="{C3380CC4-5D6E-409C-BE32-E72D297353CC}">
              <c16:uniqueId val="{00000003-E879-48D4-A0F4-4E90E343BF88}"/>
            </c:ext>
          </c:extLst>
        </c:ser>
        <c:ser>
          <c:idx val="4"/>
          <c:order val="5"/>
          <c:tx>
            <c:strRef>
              <c:f>'Avløpsbehandling-Resultater'!$A$77</c:f>
              <c:strCache>
                <c:ptCount val="1"/>
                <c:pt idx="0">
                  <c:v>CO₂ til vannbehandling</c:v>
                </c:pt>
              </c:strCache>
            </c:strRef>
          </c:tx>
          <c:spPr>
            <a:solidFill>
              <a:schemeClr val="accent5"/>
            </a:solidFill>
            <a:ln>
              <a:noFill/>
            </a:ln>
            <a:effectLst/>
          </c:spPr>
          <c:invertIfNegative val="0"/>
          <c:cat>
            <c:strRef>
              <c:f>'Avløpsbehandling-Resultater'!$B$71</c:f>
              <c:strCache>
                <c:ptCount val="1"/>
                <c:pt idx="0">
                  <c:v>kg CO₂ ekv./år</c:v>
                </c:pt>
              </c:strCache>
            </c:strRef>
          </c:cat>
          <c:val>
            <c:numRef>
              <c:f>'Avløpsbehandling-Resultater'!$B$77</c:f>
              <c:numCache>
                <c:formatCode>#,##0</c:formatCode>
                <c:ptCount val="1"/>
                <c:pt idx="0">
                  <c:v>0</c:v>
                </c:pt>
              </c:numCache>
            </c:numRef>
          </c:val>
          <c:extLst>
            <c:ext xmlns:c16="http://schemas.microsoft.com/office/drawing/2014/chart" uri="{C3380CC4-5D6E-409C-BE32-E72D297353CC}">
              <c16:uniqueId val="{00000004-E879-48D4-A0F4-4E90E343BF88}"/>
            </c:ext>
          </c:extLst>
        </c:ser>
        <c:ser>
          <c:idx val="5"/>
          <c:order val="6"/>
          <c:tx>
            <c:strRef>
              <c:f>'Avløpsbehandling-Resultater'!$A$78</c:f>
              <c:strCache>
                <c:ptCount val="1"/>
                <c:pt idx="0">
                  <c:v>Flytende oksygen til ozonproduksjon</c:v>
                </c:pt>
              </c:strCache>
            </c:strRef>
          </c:tx>
          <c:spPr>
            <a:solidFill>
              <a:schemeClr val="accent6"/>
            </a:solidFill>
            <a:ln>
              <a:noFill/>
            </a:ln>
            <a:effectLst/>
          </c:spPr>
          <c:invertIfNegative val="0"/>
          <c:cat>
            <c:strRef>
              <c:f>'Avløpsbehandling-Resultater'!$B$71</c:f>
              <c:strCache>
                <c:ptCount val="1"/>
                <c:pt idx="0">
                  <c:v>kg CO₂ ekv./år</c:v>
                </c:pt>
              </c:strCache>
            </c:strRef>
          </c:cat>
          <c:val>
            <c:numRef>
              <c:f>'Avløpsbehandling-Resultater'!$B$78</c:f>
              <c:numCache>
                <c:formatCode>#,##0</c:formatCode>
                <c:ptCount val="1"/>
                <c:pt idx="0">
                  <c:v>0</c:v>
                </c:pt>
              </c:numCache>
            </c:numRef>
          </c:val>
          <c:extLst>
            <c:ext xmlns:c16="http://schemas.microsoft.com/office/drawing/2014/chart" uri="{C3380CC4-5D6E-409C-BE32-E72D297353CC}">
              <c16:uniqueId val="{00000005-E879-48D4-A0F4-4E90E343BF88}"/>
            </c:ext>
          </c:extLst>
        </c:ser>
        <c:ser>
          <c:idx val="6"/>
          <c:order val="7"/>
          <c:tx>
            <c:strRef>
              <c:f>'Avløpsbehandling-Resultater'!$A$79</c:f>
              <c:strCache>
                <c:ptCount val="1"/>
                <c:pt idx="0">
                  <c:v>Fosforsyre</c:v>
                </c:pt>
              </c:strCache>
            </c:strRef>
          </c:tx>
          <c:spPr>
            <a:solidFill>
              <a:schemeClr val="accent1">
                <a:lumMod val="60000"/>
              </a:schemeClr>
            </a:solidFill>
            <a:ln>
              <a:noFill/>
            </a:ln>
            <a:effectLst/>
          </c:spPr>
          <c:invertIfNegative val="0"/>
          <c:cat>
            <c:strRef>
              <c:f>'Avløpsbehandling-Resultater'!$B$71</c:f>
              <c:strCache>
                <c:ptCount val="1"/>
                <c:pt idx="0">
                  <c:v>kg CO₂ ekv./år</c:v>
                </c:pt>
              </c:strCache>
            </c:strRef>
          </c:cat>
          <c:val>
            <c:numRef>
              <c:f>'Avløpsbehandling-Resultater'!$B$79</c:f>
              <c:numCache>
                <c:formatCode>#,##0</c:formatCode>
                <c:ptCount val="1"/>
                <c:pt idx="0">
                  <c:v>0</c:v>
                </c:pt>
              </c:numCache>
            </c:numRef>
          </c:val>
          <c:extLst>
            <c:ext xmlns:c16="http://schemas.microsoft.com/office/drawing/2014/chart" uri="{C3380CC4-5D6E-409C-BE32-E72D297353CC}">
              <c16:uniqueId val="{00000006-E879-48D4-A0F4-4E90E343BF88}"/>
            </c:ext>
          </c:extLst>
        </c:ser>
        <c:ser>
          <c:idx val="7"/>
          <c:order val="8"/>
          <c:tx>
            <c:strRef>
              <c:f>'Avløpsbehandling-Resultater'!$A$80</c:f>
              <c:strCache>
                <c:ptCount val="1"/>
                <c:pt idx="0">
                  <c:v>Hydrogenperoksid (H2O2) </c:v>
                </c:pt>
              </c:strCache>
            </c:strRef>
          </c:tx>
          <c:spPr>
            <a:solidFill>
              <a:schemeClr val="accent2">
                <a:lumMod val="60000"/>
              </a:schemeClr>
            </a:solidFill>
            <a:ln>
              <a:noFill/>
            </a:ln>
            <a:effectLst/>
          </c:spPr>
          <c:invertIfNegative val="0"/>
          <c:cat>
            <c:strRef>
              <c:f>'Avløpsbehandling-Resultater'!$B$71</c:f>
              <c:strCache>
                <c:ptCount val="1"/>
                <c:pt idx="0">
                  <c:v>kg CO₂ ekv./år</c:v>
                </c:pt>
              </c:strCache>
            </c:strRef>
          </c:cat>
          <c:val>
            <c:numRef>
              <c:f>'Avløpsbehandling-Resultater'!$B$80</c:f>
              <c:numCache>
                <c:formatCode>#,##0</c:formatCode>
                <c:ptCount val="1"/>
                <c:pt idx="0">
                  <c:v>0</c:v>
                </c:pt>
              </c:numCache>
            </c:numRef>
          </c:val>
          <c:extLst>
            <c:ext xmlns:c16="http://schemas.microsoft.com/office/drawing/2014/chart" uri="{C3380CC4-5D6E-409C-BE32-E72D297353CC}">
              <c16:uniqueId val="{00000007-E879-48D4-A0F4-4E90E343BF88}"/>
            </c:ext>
          </c:extLst>
        </c:ser>
        <c:ser>
          <c:idx val="8"/>
          <c:order val="9"/>
          <c:tx>
            <c:strRef>
              <c:f>'Avløpsbehandling-Resultater'!$A$81</c:f>
              <c:strCache>
                <c:ptCount val="1"/>
                <c:pt idx="0">
                  <c:v>Ionebyttesalt</c:v>
                </c:pt>
              </c:strCache>
            </c:strRef>
          </c:tx>
          <c:spPr>
            <a:solidFill>
              <a:schemeClr val="accent3">
                <a:lumMod val="60000"/>
              </a:schemeClr>
            </a:solidFill>
            <a:ln>
              <a:noFill/>
            </a:ln>
            <a:effectLst/>
          </c:spPr>
          <c:invertIfNegative val="0"/>
          <c:cat>
            <c:strRef>
              <c:f>'Avløpsbehandling-Resultater'!$B$71</c:f>
              <c:strCache>
                <c:ptCount val="1"/>
                <c:pt idx="0">
                  <c:v>kg CO₂ ekv./år</c:v>
                </c:pt>
              </c:strCache>
            </c:strRef>
          </c:cat>
          <c:val>
            <c:numRef>
              <c:f>'Avløpsbehandling-Resultater'!$B$81</c:f>
              <c:numCache>
                <c:formatCode>#,##0</c:formatCode>
                <c:ptCount val="1"/>
                <c:pt idx="0">
                  <c:v>0</c:v>
                </c:pt>
              </c:numCache>
            </c:numRef>
          </c:val>
          <c:extLst>
            <c:ext xmlns:c16="http://schemas.microsoft.com/office/drawing/2014/chart" uri="{C3380CC4-5D6E-409C-BE32-E72D297353CC}">
              <c16:uniqueId val="{00000008-E879-48D4-A0F4-4E90E343BF88}"/>
            </c:ext>
          </c:extLst>
        </c:ser>
        <c:ser>
          <c:idx val="9"/>
          <c:order val="10"/>
          <c:tx>
            <c:strRef>
              <c:f>'Avløpsbehandling-Resultater'!$A$82</c:f>
              <c:strCache>
                <c:ptCount val="1"/>
                <c:pt idx="0">
                  <c:v>Klor, flytende</c:v>
                </c:pt>
              </c:strCache>
            </c:strRef>
          </c:tx>
          <c:spPr>
            <a:solidFill>
              <a:schemeClr val="accent4">
                <a:lumMod val="60000"/>
              </a:schemeClr>
            </a:solidFill>
            <a:ln>
              <a:noFill/>
            </a:ln>
            <a:effectLst/>
          </c:spPr>
          <c:invertIfNegative val="0"/>
          <c:cat>
            <c:strRef>
              <c:f>'Avløpsbehandling-Resultater'!$B$71</c:f>
              <c:strCache>
                <c:ptCount val="1"/>
                <c:pt idx="0">
                  <c:v>kg CO₂ ekv./år</c:v>
                </c:pt>
              </c:strCache>
            </c:strRef>
          </c:cat>
          <c:val>
            <c:numRef>
              <c:f>'Avløpsbehandling-Resultater'!$B$82</c:f>
              <c:numCache>
                <c:formatCode>#,##0</c:formatCode>
                <c:ptCount val="1"/>
                <c:pt idx="0">
                  <c:v>0</c:v>
                </c:pt>
              </c:numCache>
            </c:numRef>
          </c:val>
          <c:extLst>
            <c:ext xmlns:c16="http://schemas.microsoft.com/office/drawing/2014/chart" uri="{C3380CC4-5D6E-409C-BE32-E72D297353CC}">
              <c16:uniqueId val="{00000009-E879-48D4-A0F4-4E90E343BF88}"/>
            </c:ext>
          </c:extLst>
        </c:ser>
        <c:ser>
          <c:idx val="10"/>
          <c:order val="11"/>
          <c:tx>
            <c:strRef>
              <c:f>'Avløpsbehandling-Resultater'!$A$83</c:f>
              <c:strCache>
                <c:ptCount val="1"/>
                <c:pt idx="0">
                  <c:v>Klorgass</c:v>
                </c:pt>
              </c:strCache>
            </c:strRef>
          </c:tx>
          <c:spPr>
            <a:solidFill>
              <a:schemeClr val="accent5">
                <a:lumMod val="60000"/>
              </a:schemeClr>
            </a:solidFill>
            <a:ln>
              <a:noFill/>
            </a:ln>
            <a:effectLst/>
          </c:spPr>
          <c:invertIfNegative val="0"/>
          <c:cat>
            <c:strRef>
              <c:f>'Avløpsbehandling-Resultater'!$B$71</c:f>
              <c:strCache>
                <c:ptCount val="1"/>
                <c:pt idx="0">
                  <c:v>kg CO₂ ekv./år</c:v>
                </c:pt>
              </c:strCache>
            </c:strRef>
          </c:cat>
          <c:val>
            <c:numRef>
              <c:f>'Avløpsbehandling-Resultater'!$B$83</c:f>
              <c:numCache>
                <c:formatCode>#,##0</c:formatCode>
                <c:ptCount val="1"/>
                <c:pt idx="0">
                  <c:v>0</c:v>
                </c:pt>
              </c:numCache>
            </c:numRef>
          </c:val>
          <c:extLst>
            <c:ext xmlns:c16="http://schemas.microsoft.com/office/drawing/2014/chart" uri="{C3380CC4-5D6E-409C-BE32-E72D297353CC}">
              <c16:uniqueId val="{0000000A-E879-48D4-A0F4-4E90E343BF88}"/>
            </c:ext>
          </c:extLst>
        </c:ser>
        <c:ser>
          <c:idx val="11"/>
          <c:order val="12"/>
          <c:tx>
            <c:strRef>
              <c:f>'Avløpsbehandling-Resultater'!$A$84</c:f>
              <c:strCache>
                <c:ptCount val="1"/>
                <c:pt idx="0">
                  <c:v>Litiumklorid</c:v>
                </c:pt>
              </c:strCache>
            </c:strRef>
          </c:tx>
          <c:spPr>
            <a:solidFill>
              <a:schemeClr val="accent6">
                <a:lumMod val="60000"/>
              </a:schemeClr>
            </a:solidFill>
            <a:ln>
              <a:noFill/>
            </a:ln>
            <a:effectLst/>
          </c:spPr>
          <c:invertIfNegative val="0"/>
          <c:cat>
            <c:strRef>
              <c:f>'Avløpsbehandling-Resultater'!$B$71</c:f>
              <c:strCache>
                <c:ptCount val="1"/>
                <c:pt idx="0">
                  <c:v>kg CO₂ ekv./år</c:v>
                </c:pt>
              </c:strCache>
            </c:strRef>
          </c:cat>
          <c:val>
            <c:numRef>
              <c:f>'Avløpsbehandling-Resultater'!$B$84</c:f>
              <c:numCache>
                <c:formatCode>#,##0</c:formatCode>
                <c:ptCount val="1"/>
                <c:pt idx="0">
                  <c:v>0</c:v>
                </c:pt>
              </c:numCache>
            </c:numRef>
          </c:val>
          <c:extLst>
            <c:ext xmlns:c16="http://schemas.microsoft.com/office/drawing/2014/chart" uri="{C3380CC4-5D6E-409C-BE32-E72D297353CC}">
              <c16:uniqueId val="{0000000B-E879-48D4-A0F4-4E90E343BF88}"/>
            </c:ext>
          </c:extLst>
        </c:ser>
        <c:ser>
          <c:idx val="12"/>
          <c:order val="13"/>
          <c:tx>
            <c:strRef>
              <c:f>'Avløpsbehandling-Resultater'!$A$85</c:f>
              <c:strCache>
                <c:ptCount val="1"/>
                <c:pt idx="0">
                  <c:v>Magnesiumklorid</c:v>
                </c:pt>
              </c:strCache>
            </c:strRef>
          </c:tx>
          <c:spPr>
            <a:solidFill>
              <a:schemeClr val="accent1">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'Avløpsbehandling-Resultater'!$B$85</c:f>
              <c:numCache>
                <c:formatCode>#,##0</c:formatCode>
                <c:ptCount val="1"/>
                <c:pt idx="0">
                  <c:v>0</c:v>
                </c:pt>
              </c:numCache>
            </c:numRef>
          </c:val>
          <c:extLst>
            <c:ext xmlns:c16="http://schemas.microsoft.com/office/drawing/2014/chart" uri="{C3380CC4-5D6E-409C-BE32-E72D297353CC}">
              <c16:uniqueId val="{0000000C-E879-48D4-A0F4-4E90E343BF88}"/>
            </c:ext>
          </c:extLst>
        </c:ser>
        <c:ser>
          <c:idx val="13"/>
          <c:order val="14"/>
          <c:tx>
            <c:strRef>
              <c:f>'Avløpsbehandling-Resultater'!$A$86</c:f>
              <c:strCache>
                <c:ptCount val="1"/>
                <c:pt idx="0">
                  <c:v>Natriumhypokloritt (NaClO)</c:v>
                </c:pt>
              </c:strCache>
            </c:strRef>
          </c:tx>
          <c:spPr>
            <a:solidFill>
              <a:schemeClr val="accent2">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'Avløpsbehandling-Resultater'!$B$86</c:f>
              <c:numCache>
                <c:formatCode>#,##0</c:formatCode>
                <c:ptCount val="1"/>
                <c:pt idx="0">
                  <c:v>0</c:v>
                </c:pt>
              </c:numCache>
            </c:numRef>
          </c:val>
          <c:extLst>
            <c:ext xmlns:c16="http://schemas.microsoft.com/office/drawing/2014/chart" uri="{C3380CC4-5D6E-409C-BE32-E72D297353CC}">
              <c16:uniqueId val="{0000000D-E879-48D4-A0F4-4E90E343BF88}"/>
            </c:ext>
          </c:extLst>
        </c:ser>
        <c:ser>
          <c:idx val="14"/>
          <c:order val="15"/>
          <c:tx>
            <c:strRef>
              <c:f>'Avløpsbehandling-Resultater'!$A$87</c:f>
              <c:strCache>
                <c:ptCount val="1"/>
                <c:pt idx="0">
                  <c:v>Natriumthiosulfat</c:v>
                </c:pt>
              </c:strCache>
            </c:strRef>
          </c:tx>
          <c:spPr>
            <a:solidFill>
              <a:schemeClr val="accent3">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'Avløpsbehandling-Resultater'!$B$87</c:f>
              <c:numCache>
                <c:formatCode>#,##0</c:formatCode>
                <c:ptCount val="1"/>
                <c:pt idx="0">
                  <c:v>0</c:v>
                </c:pt>
              </c:numCache>
            </c:numRef>
          </c:val>
          <c:extLst>
            <c:ext xmlns:c16="http://schemas.microsoft.com/office/drawing/2014/chart" uri="{C3380CC4-5D6E-409C-BE32-E72D297353CC}">
              <c16:uniqueId val="{00000000-1067-429C-B132-AEB4A6906EC1}"/>
            </c:ext>
          </c:extLst>
        </c:ser>
        <c:ser>
          <c:idx val="15"/>
          <c:order val="16"/>
          <c:tx>
            <c:strRef>
              <c:f>'Avløpsbehandling-Resultater'!$A$88</c:f>
              <c:strCache>
                <c:ptCount val="1"/>
                <c:pt idx="0">
                  <c:v>Oktanol </c:v>
                </c:pt>
              </c:strCache>
            </c:strRef>
          </c:tx>
          <c:spPr>
            <a:solidFill>
              <a:schemeClr val="accent4">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'Avløpsbehandling-Resultater'!$B$88</c:f>
              <c:numCache>
                <c:formatCode>#,##0</c:formatCode>
                <c:ptCount val="1"/>
                <c:pt idx="0">
                  <c:v>0</c:v>
                </c:pt>
              </c:numCache>
            </c:numRef>
          </c:val>
          <c:extLst>
            <c:ext xmlns:c16="http://schemas.microsoft.com/office/drawing/2014/chart" uri="{C3380CC4-5D6E-409C-BE32-E72D297353CC}">
              <c16:uniqueId val="{00000000-B6C2-444A-92AA-C26AC50E56D2}"/>
            </c:ext>
          </c:extLst>
        </c:ser>
        <c:ser>
          <c:idx val="16"/>
          <c:order val="17"/>
          <c:tx>
            <c:strRef>
              <c:f>'Avløpsbehandling-Resultater'!$A$89</c:f>
              <c:strCache>
                <c:ptCount val="1"/>
                <c:pt idx="0">
                  <c:v>Propan</c:v>
                </c:pt>
              </c:strCache>
            </c:strRef>
          </c:tx>
          <c:spPr>
            <a:solidFill>
              <a:schemeClr val="accent5">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'Avløpsbehandling-Resultater'!$B$89</c:f>
              <c:numCache>
                <c:formatCode>#,##0</c:formatCode>
                <c:ptCount val="1"/>
                <c:pt idx="0">
                  <c:v>0</c:v>
                </c:pt>
              </c:numCache>
            </c:numRef>
          </c:val>
          <c:extLst>
            <c:ext xmlns:c16="http://schemas.microsoft.com/office/drawing/2014/chart" uri="{C3380CC4-5D6E-409C-BE32-E72D297353CC}">
              <c16:uniqueId val="{00000001-B6C2-444A-92AA-C26AC50E56D2}"/>
            </c:ext>
          </c:extLst>
        </c:ser>
        <c:ser>
          <c:idx val="17"/>
          <c:order val="18"/>
          <c:tx>
            <c:strRef>
              <c:f>'Avløpsbehandling-Resultater'!$A$90</c:f>
              <c:strCache>
                <c:ptCount val="1"/>
                <c:pt idx="0">
                  <c:v>Salpetersyre (HNO3)</c:v>
                </c:pt>
              </c:strCache>
            </c:strRef>
          </c:tx>
          <c:spPr>
            <a:solidFill>
              <a:schemeClr val="accent6">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'Avløpsbehandling-Resultater'!$B$90</c:f>
              <c:numCache>
                <c:formatCode>#,##0</c:formatCode>
                <c:ptCount val="1"/>
                <c:pt idx="0">
                  <c:v>0</c:v>
                </c:pt>
              </c:numCache>
            </c:numRef>
          </c:val>
          <c:extLst>
            <c:ext xmlns:c16="http://schemas.microsoft.com/office/drawing/2014/chart" uri="{C3380CC4-5D6E-409C-BE32-E72D297353CC}">
              <c16:uniqueId val="{00000000-87E7-457F-9116-8E2BF122EFE5}"/>
            </c:ext>
          </c:extLst>
        </c:ser>
        <c:ser>
          <c:idx val="19"/>
          <c:order val="19"/>
          <c:tx>
            <c:strRef>
              <c:f>'Avløpsbehandling-Resultater'!$A$91</c:f>
              <c:strCache>
                <c:ptCount val="1"/>
                <c:pt idx="0">
                  <c:v>Saltsyre (HCl)</c:v>
                </c:pt>
              </c:strCache>
            </c:strRef>
          </c:tx>
          <c:spPr>
            <a:solidFill>
              <a:schemeClr val="accent2">
                <a:lumMod val="80000"/>
              </a:schemeClr>
            </a:solidFill>
            <a:ln>
              <a:noFill/>
            </a:ln>
            <a:effectLst/>
          </c:spPr>
          <c:invertIfNegative val="0"/>
          <c:cat>
            <c:strRef>
              <c:f>'Avløpsbehandling-Resultater'!$B$71</c:f>
              <c:strCache>
                <c:ptCount val="1"/>
                <c:pt idx="0">
                  <c:v>kg CO₂ ekv./år</c:v>
                </c:pt>
              </c:strCache>
            </c:strRef>
          </c:cat>
          <c:val>
            <c:numRef>
              <c:f>'Avløpsbehandling-Resultater'!$B$91</c:f>
              <c:numCache>
                <c:formatCode>#,##0</c:formatCode>
                <c:ptCount val="1"/>
                <c:pt idx="0">
                  <c:v>0</c:v>
                </c:pt>
              </c:numCache>
            </c:numRef>
          </c:val>
          <c:extLst>
            <c:ext xmlns:c16="http://schemas.microsoft.com/office/drawing/2014/chart" uri="{C3380CC4-5D6E-409C-BE32-E72D297353CC}">
              <c16:uniqueId val="{00000001-EB8D-4DC8-B313-949F4A5E19D4}"/>
            </c:ext>
          </c:extLst>
        </c:ser>
        <c:ser>
          <c:idx val="20"/>
          <c:order val="20"/>
          <c:tx>
            <c:strRef>
              <c:f>'Avløpsbehandling-Resultater'!$A$92</c:f>
              <c:strCache>
                <c:ptCount val="1"/>
                <c:pt idx="0">
                  <c:v>Svovelsyre (H2SO4)</c:v>
                </c:pt>
              </c:strCache>
            </c:strRef>
          </c:tx>
          <c:spPr>
            <a:solidFill>
              <a:schemeClr val="accent3">
                <a:lumMod val="80000"/>
              </a:schemeClr>
            </a:solidFill>
            <a:ln>
              <a:noFill/>
            </a:ln>
            <a:effectLst/>
          </c:spPr>
          <c:invertIfNegative val="0"/>
          <c:cat>
            <c:strRef>
              <c:f>'Avløpsbehandling-Resultater'!$B$71</c:f>
              <c:strCache>
                <c:ptCount val="1"/>
                <c:pt idx="0">
                  <c:v>kg CO₂ ekv./år</c:v>
                </c:pt>
              </c:strCache>
            </c:strRef>
          </c:cat>
          <c:val>
            <c:numRef>
              <c:f>'Avløpsbehandling-Resultater'!$B$92</c:f>
              <c:numCache>
                <c:formatCode>#,##0</c:formatCode>
                <c:ptCount val="1"/>
                <c:pt idx="0">
                  <c:v>0</c:v>
                </c:pt>
              </c:numCache>
            </c:numRef>
          </c:val>
          <c:extLst>
            <c:ext xmlns:c16="http://schemas.microsoft.com/office/drawing/2014/chart" uri="{C3380CC4-5D6E-409C-BE32-E72D297353CC}">
              <c16:uniqueId val="{00000003-EB8D-4DC8-B313-949F4A5E19D4}"/>
            </c:ext>
          </c:extLst>
        </c:ser>
        <c:ser>
          <c:idx val="21"/>
          <c:order val="21"/>
          <c:tx>
            <c:strRef>
              <c:f>'Avløpsbehandling-Resultater'!$A$93</c:f>
              <c:strCache>
                <c:ptCount val="1"/>
                <c:pt idx="0">
                  <c:v>Vannglass (Natriumsilikat)</c:v>
                </c:pt>
              </c:strCache>
            </c:strRef>
          </c:tx>
          <c:spPr>
            <a:solidFill>
              <a:schemeClr val="accent4">
                <a:lumMod val="80000"/>
              </a:schemeClr>
            </a:solidFill>
            <a:ln>
              <a:noFill/>
            </a:ln>
            <a:effectLst/>
          </c:spPr>
          <c:invertIfNegative val="0"/>
          <c:cat>
            <c:strRef>
              <c:f>'Avløpsbehandling-Resultater'!$B$71</c:f>
              <c:strCache>
                <c:ptCount val="1"/>
                <c:pt idx="0">
                  <c:v>kg CO₂ ekv./år</c:v>
                </c:pt>
              </c:strCache>
            </c:strRef>
          </c:cat>
          <c:val>
            <c:numRef>
              <c:f>'Avløpsbehandling-Resultater'!$B$93</c:f>
              <c:numCache>
                <c:formatCode>#,##0</c:formatCode>
                <c:ptCount val="1"/>
                <c:pt idx="0">
                  <c:v>0</c:v>
                </c:pt>
              </c:numCache>
            </c:numRef>
          </c:val>
          <c:extLst>
            <c:ext xmlns:c16="http://schemas.microsoft.com/office/drawing/2014/chart" uri="{C3380CC4-5D6E-409C-BE32-E72D297353CC}">
              <c16:uniqueId val="{00000001-F5BD-4BD4-9A9E-1B24C7F204FD}"/>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layout>
        <c:manualLayout>
          <c:xMode val="edge"/>
          <c:yMode val="edge"/>
          <c:x val="2.5084194330518124E-2"/>
          <c:y val="0.43228783902012247"/>
          <c:w val="0.46939947771284385"/>
          <c:h val="0.541946428881820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b="1"/>
              <a:t>Virksomhetens klimaregnskap basert</a:t>
            </a:r>
            <a:r>
              <a:rPr lang="nb-NO" b="1" baseline="0"/>
              <a:t> på KOSTRA-regnskapet</a:t>
            </a:r>
            <a:endParaRPr lang="nb-NO"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8.3646891540091042E-2"/>
          <c:y val="0.145866612589728"/>
          <c:w val="0.75010383745142561"/>
          <c:h val="0.71109010095547787"/>
        </c:manualLayout>
      </c:layout>
      <c:barChart>
        <c:barDir val="col"/>
        <c:grouping val="stacked"/>
        <c:varyColors val="0"/>
        <c:ser>
          <c:idx val="0"/>
          <c:order val="0"/>
          <c:tx>
            <c:strRef>
              <c:f>'Sammendrag klimaregnskap'!$A$38</c:f>
              <c:strCache>
                <c:ptCount val="1"/>
                <c:pt idx="0">
                  <c:v>Forbruksmateriell</c:v>
                </c:pt>
              </c:strCache>
            </c:strRef>
          </c:tx>
          <c:spPr>
            <a:solidFill>
              <a:schemeClr val="accent1"/>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klimaregnskap'!$C$38:$F$38</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7-7711-42DE-815B-77289937C5B2}"/>
            </c:ext>
          </c:extLst>
        </c:ser>
        <c:ser>
          <c:idx val="1"/>
          <c:order val="1"/>
          <c:tx>
            <c:strRef>
              <c:f>'Sammendrag klimaregnskap'!$A$39</c:f>
              <c:strCache>
                <c:ptCount val="1"/>
                <c:pt idx="0">
                  <c:v>Transport</c:v>
                </c:pt>
              </c:strCache>
            </c:strRef>
          </c:tx>
          <c:spPr>
            <a:solidFill>
              <a:schemeClr val="accent2"/>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klimaregnskap'!$C$39:$F$39</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9-7711-42DE-815B-77289937C5B2}"/>
            </c:ext>
          </c:extLst>
        </c:ser>
        <c:ser>
          <c:idx val="2"/>
          <c:order val="2"/>
          <c:tx>
            <c:strRef>
              <c:f>'Sammendrag klimaregnskap'!$A$40</c:f>
              <c:strCache>
                <c:ptCount val="1"/>
                <c:pt idx="0">
                  <c:v>Energi</c:v>
                </c:pt>
              </c:strCache>
            </c:strRef>
          </c:tx>
          <c:spPr>
            <a:solidFill>
              <a:schemeClr val="accent3"/>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klimaregnskap'!$C$40:$F$40</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B-7711-42DE-815B-77289937C5B2}"/>
            </c:ext>
          </c:extLst>
        </c:ser>
        <c:ser>
          <c:idx val="3"/>
          <c:order val="3"/>
          <c:tx>
            <c:strRef>
              <c:f>'Sammendrag klimaregnskap'!$A$41</c:f>
              <c:strCache>
                <c:ptCount val="1"/>
                <c:pt idx="0">
                  <c:v>Bygg og anlegg</c:v>
                </c:pt>
              </c:strCache>
            </c:strRef>
          </c:tx>
          <c:spPr>
            <a:solidFill>
              <a:schemeClr val="accent4"/>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klimaregnskap'!$C$41:$F$41</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D-7711-42DE-815B-77289937C5B2}"/>
            </c:ext>
          </c:extLst>
        </c:ser>
        <c:ser>
          <c:idx val="4"/>
          <c:order val="4"/>
          <c:tx>
            <c:strRef>
              <c:f>'Sammendrag klimaregnskap'!$A$42</c:f>
              <c:strCache>
                <c:ptCount val="1"/>
                <c:pt idx="0">
                  <c:v>Maskiner og utstyr</c:v>
                </c:pt>
              </c:strCache>
            </c:strRef>
          </c:tx>
          <c:spPr>
            <a:solidFill>
              <a:schemeClr val="accent5"/>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klimaregnskap'!$C$42:$F$42</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F-7711-42DE-815B-77289937C5B2}"/>
            </c:ext>
          </c:extLst>
        </c:ser>
        <c:dLbls>
          <c:showLegendKey val="0"/>
          <c:showVal val="0"/>
          <c:showCatName val="0"/>
          <c:showSerName val="0"/>
          <c:showPercent val="0"/>
          <c:showBubbleSize val="0"/>
        </c:dLbls>
        <c:gapWidth val="150"/>
        <c:overlap val="100"/>
        <c:axId val="1433051152"/>
        <c:axId val="1433043280"/>
      </c:barChart>
      <c:catAx>
        <c:axId val="14330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43280"/>
        <c:crosses val="autoZero"/>
        <c:auto val="1"/>
        <c:lblAlgn val="ctr"/>
        <c:lblOffset val="100"/>
        <c:noMultiLvlLbl val="0"/>
      </c:catAx>
      <c:valAx>
        <c:axId val="1433043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 CO</a:t>
                </a:r>
                <a:r>
                  <a:rPr lang="nb-NO" baseline="-25000"/>
                  <a:t>2</a:t>
                </a:r>
                <a:r>
                  <a:rPr lang="nb-NO"/>
                  <a:t> ekv./år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51152"/>
        <c:crosses val="autoZero"/>
        <c:crossBetween val="between"/>
      </c:valAx>
      <c:spPr>
        <a:solidFill>
          <a:schemeClr val="bg1">
            <a:lumMod val="95000"/>
          </a:schemeClr>
        </a:solidFill>
        <a:ln>
          <a:noFill/>
        </a:ln>
        <a:effectLst/>
      </c:spPr>
    </c:plotArea>
    <c:legend>
      <c:legendPos val="r"/>
      <c:layout>
        <c:manualLayout>
          <c:xMode val="edge"/>
          <c:yMode val="edge"/>
          <c:x val="0.83805795593801569"/>
          <c:y val="0.22415578035528774"/>
          <c:w val="0.15044074830820051"/>
          <c:h val="0.70179626954634677"/>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accent1">
        <a:lumMod val="40000"/>
        <a:lumOff val="60000"/>
      </a:schemeClr>
    </a:solidFill>
    <a:ln w="9525" cap="flat" cmpd="sng" algn="ctr">
      <a:noFill/>
      <a:round/>
    </a:ln>
    <a:effectLst/>
  </c:spPr>
  <c:txPr>
    <a:bodyPr/>
    <a:lstStyle/>
    <a:p>
      <a:pPr>
        <a:defRPr/>
      </a:pPr>
      <a:endParaRPr lang="nb-NO"/>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958665147017298"/>
          <c:y val="8.0941869021339222E-2"/>
          <c:w val="0.71787436362244217"/>
          <c:h val="0.34180644637963303"/>
        </c:manualLayout>
      </c:layout>
      <c:barChart>
        <c:barDir val="bar"/>
        <c:grouping val="percentStacked"/>
        <c:varyColors val="0"/>
        <c:ser>
          <c:idx val="0"/>
          <c:order val="0"/>
          <c:tx>
            <c:strRef>
              <c:f>'Avløpsbehandling-Resultater'!$A$65</c:f>
              <c:strCache>
                <c:ptCount val="1"/>
                <c:pt idx="0">
                  <c:v>Brent kalk (CaO)</c:v>
                </c:pt>
              </c:strCache>
            </c:strRef>
          </c:tx>
          <c:spPr>
            <a:solidFill>
              <a:schemeClr val="accent1"/>
            </a:solidFill>
            <a:ln>
              <a:noFill/>
            </a:ln>
            <a:effectLst/>
          </c:spPr>
          <c:invertIfNegative val="0"/>
          <c:cat>
            <c:strRef>
              <c:f>'Avløpsbehandling-Resultater'!$B$64</c:f>
              <c:strCache>
                <c:ptCount val="1"/>
                <c:pt idx="0">
                  <c:v>kg CO₂ ekv./år</c:v>
                </c:pt>
              </c:strCache>
            </c:strRef>
          </c:cat>
          <c:val>
            <c:numRef>
              <c:f>'Avløpsbehandling-Resultater'!$B$65</c:f>
              <c:numCache>
                <c:formatCode>#,##0</c:formatCode>
                <c:ptCount val="1"/>
                <c:pt idx="0">
                  <c:v>0</c:v>
                </c:pt>
              </c:numCache>
            </c:numRef>
          </c:val>
          <c:extLst>
            <c:ext xmlns:c16="http://schemas.microsoft.com/office/drawing/2014/chart" uri="{C3380CC4-5D6E-409C-BE32-E72D297353CC}">
              <c16:uniqueId val="{00000000-ECFE-4014-8708-C461C96D070C}"/>
            </c:ext>
          </c:extLst>
        </c:ser>
        <c:ser>
          <c:idx val="1"/>
          <c:order val="1"/>
          <c:tx>
            <c:strRef>
              <c:f>'Avløpsbehandling-Resultater'!$A$66</c:f>
              <c:strCache>
                <c:ptCount val="1"/>
                <c:pt idx="0">
                  <c:v>Lesket kalk, Ca(OH)2</c:v>
                </c:pt>
              </c:strCache>
            </c:strRef>
          </c:tx>
          <c:spPr>
            <a:solidFill>
              <a:schemeClr val="accent2"/>
            </a:solidFill>
            <a:ln>
              <a:noFill/>
            </a:ln>
            <a:effectLst/>
          </c:spPr>
          <c:invertIfNegative val="0"/>
          <c:cat>
            <c:strRef>
              <c:f>'Avløpsbehandling-Resultater'!$B$64</c:f>
              <c:strCache>
                <c:ptCount val="1"/>
                <c:pt idx="0">
                  <c:v>kg CO₂ ekv./år</c:v>
                </c:pt>
              </c:strCache>
            </c:strRef>
          </c:cat>
          <c:val>
            <c:numRef>
              <c:f>'Avløpsbehandling-Resultater'!$B$66</c:f>
              <c:numCache>
                <c:formatCode>#,##0</c:formatCode>
                <c:ptCount val="1"/>
                <c:pt idx="0">
                  <c:v>0</c:v>
                </c:pt>
              </c:numCache>
            </c:numRef>
          </c:val>
          <c:extLst>
            <c:ext xmlns:c16="http://schemas.microsoft.com/office/drawing/2014/chart" uri="{C3380CC4-5D6E-409C-BE32-E72D297353CC}">
              <c16:uniqueId val="{00000001-ECFE-4014-8708-C461C96D070C}"/>
            </c:ext>
          </c:extLst>
        </c:ser>
        <c:ser>
          <c:idx val="2"/>
          <c:order val="2"/>
          <c:tx>
            <c:strRef>
              <c:f>'Avløpsbehandling-Resultater'!$A$67</c:f>
              <c:strCache>
                <c:ptCount val="1"/>
                <c:pt idx="0">
                  <c:v>Kalsiumkarbonat, CaCO3</c:v>
                </c:pt>
              </c:strCache>
            </c:strRef>
          </c:tx>
          <c:spPr>
            <a:solidFill>
              <a:schemeClr val="accent3"/>
            </a:solidFill>
            <a:ln>
              <a:noFill/>
            </a:ln>
            <a:effectLst/>
          </c:spPr>
          <c:invertIfNegative val="0"/>
          <c:cat>
            <c:strRef>
              <c:f>'Avløpsbehandling-Resultater'!$B$64</c:f>
              <c:strCache>
                <c:ptCount val="1"/>
                <c:pt idx="0">
                  <c:v>kg CO₂ ekv./år</c:v>
                </c:pt>
              </c:strCache>
            </c:strRef>
          </c:cat>
          <c:val>
            <c:numRef>
              <c:f>'Avløpsbehandling-Resultater'!$B$67</c:f>
              <c:numCache>
                <c:formatCode>#,##0</c:formatCode>
                <c:ptCount val="1"/>
                <c:pt idx="0">
                  <c:v>0</c:v>
                </c:pt>
              </c:numCache>
            </c:numRef>
          </c:val>
          <c:extLst>
            <c:ext xmlns:c16="http://schemas.microsoft.com/office/drawing/2014/chart" uri="{C3380CC4-5D6E-409C-BE32-E72D297353CC}">
              <c16:uniqueId val="{00000002-ECFE-4014-8708-C461C96D070C}"/>
            </c:ext>
          </c:extLst>
        </c:ser>
        <c:ser>
          <c:idx val="3"/>
          <c:order val="3"/>
          <c:tx>
            <c:strRef>
              <c:f>'Avløpsbehandling-Resultater'!$A$68</c:f>
              <c:strCache>
                <c:ptCount val="1"/>
                <c:pt idx="0">
                  <c:v>Natriumhydroksid, NaOH 50%</c:v>
                </c:pt>
              </c:strCache>
            </c:strRef>
          </c:tx>
          <c:spPr>
            <a:solidFill>
              <a:schemeClr val="accent4"/>
            </a:solidFill>
            <a:ln>
              <a:noFill/>
            </a:ln>
            <a:effectLst/>
          </c:spPr>
          <c:invertIfNegative val="0"/>
          <c:cat>
            <c:strRef>
              <c:f>'Avløpsbehandling-Resultater'!$B$64</c:f>
              <c:strCache>
                <c:ptCount val="1"/>
                <c:pt idx="0">
                  <c:v>kg CO₂ ekv./år</c:v>
                </c:pt>
              </c:strCache>
            </c:strRef>
          </c:cat>
          <c:val>
            <c:numRef>
              <c:f>'Avløpsbehandling-Resultater'!$B$68</c:f>
              <c:numCache>
                <c:formatCode>#,##0</c:formatCode>
                <c:ptCount val="1"/>
                <c:pt idx="0">
                  <c:v>0</c:v>
                </c:pt>
              </c:numCache>
            </c:numRef>
          </c:val>
          <c:extLst>
            <c:ext xmlns:c16="http://schemas.microsoft.com/office/drawing/2014/chart" uri="{C3380CC4-5D6E-409C-BE32-E72D297353CC}">
              <c16:uniqueId val="{00000003-ECFE-4014-8708-C461C96D070C}"/>
            </c:ext>
          </c:extLst>
        </c:ser>
        <c:ser>
          <c:idx val="4"/>
          <c:order val="4"/>
          <c:tx>
            <c:strRef>
              <c:f>'Avløpsbehandling-Resultater'!$A$69</c:f>
              <c:strCache>
                <c:ptCount val="1"/>
                <c:pt idx="0">
                  <c:v>Natriumhydroksid, NaOH 30%</c:v>
                </c:pt>
              </c:strCache>
            </c:strRef>
          </c:tx>
          <c:spPr>
            <a:solidFill>
              <a:schemeClr val="accent5"/>
            </a:solidFill>
            <a:ln>
              <a:noFill/>
            </a:ln>
            <a:effectLst/>
          </c:spPr>
          <c:invertIfNegative val="0"/>
          <c:cat>
            <c:strRef>
              <c:f>'Avløpsbehandling-Resultater'!$B$64</c:f>
              <c:strCache>
                <c:ptCount val="1"/>
                <c:pt idx="0">
                  <c:v>kg CO₂ ekv./år</c:v>
                </c:pt>
              </c:strCache>
            </c:strRef>
          </c:cat>
          <c:val>
            <c:numRef>
              <c:f>'Avløpsbehandling-Resultater'!$B$69</c:f>
              <c:numCache>
                <c:formatCode>#,##0</c:formatCode>
                <c:ptCount val="1"/>
                <c:pt idx="0">
                  <c:v>0</c:v>
                </c:pt>
              </c:numCache>
            </c:numRef>
          </c:val>
          <c:extLst>
            <c:ext xmlns:c16="http://schemas.microsoft.com/office/drawing/2014/chart" uri="{C3380CC4-5D6E-409C-BE32-E72D297353CC}">
              <c16:uniqueId val="{00000000-E838-4E22-8A8C-F46537C6E463}"/>
            </c:ext>
          </c:extLst>
        </c:ser>
        <c:dLbls>
          <c:showLegendKey val="0"/>
          <c:showVal val="0"/>
          <c:showCatName val="0"/>
          <c:showSerName val="0"/>
          <c:showPercent val="0"/>
          <c:showBubbleSize val="0"/>
        </c:dLbls>
        <c:gapWidth val="150"/>
        <c:overlap val="100"/>
        <c:axId val="753773056"/>
        <c:axId val="753773384"/>
      </c:barChart>
      <c:catAx>
        <c:axId val="75377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384"/>
        <c:crosses val="autoZero"/>
        <c:auto val="1"/>
        <c:lblAlgn val="ctr"/>
        <c:lblOffset val="100"/>
        <c:noMultiLvlLbl val="0"/>
      </c:catAx>
      <c:valAx>
        <c:axId val="753773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056"/>
        <c:crosses val="autoZero"/>
        <c:crossBetween val="between"/>
      </c:valAx>
      <c:spPr>
        <a:solidFill>
          <a:schemeClr val="bg2"/>
        </a:solidFill>
        <a:ln>
          <a:noFill/>
        </a:ln>
        <a:effectLst/>
      </c:spPr>
    </c:plotArea>
    <c:legend>
      <c:legendPos val="b"/>
      <c:layout>
        <c:manualLayout>
          <c:xMode val="edge"/>
          <c:yMode val="edge"/>
          <c:x val="8.0208256678195602E-2"/>
          <c:y val="0.5213253144681419"/>
          <c:w val="0.86932666127014513"/>
          <c:h val="0.3320482290707039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63081954327902"/>
          <c:y val="0.19097222222222221"/>
          <c:w val="0.73578700389724017"/>
          <c:h val="0.27316683070866143"/>
        </c:manualLayout>
      </c:layout>
      <c:barChart>
        <c:barDir val="bar"/>
        <c:grouping val="percentStacked"/>
        <c:varyColors val="0"/>
        <c:ser>
          <c:idx val="0"/>
          <c:order val="0"/>
          <c:tx>
            <c:strRef>
              <c:f>'Avløpsbehandling-Resultater'!$A$108</c:f>
              <c:strCache>
                <c:ptCount val="1"/>
                <c:pt idx="0">
                  <c:v>Filtermasser</c:v>
                </c:pt>
              </c:strCache>
            </c:strRef>
          </c:tx>
          <c:spPr>
            <a:solidFill>
              <a:schemeClr val="accent1"/>
            </a:solidFill>
            <a:ln>
              <a:noFill/>
            </a:ln>
            <a:effectLst/>
          </c:spPr>
          <c:invertIfNegative val="0"/>
          <c:cat>
            <c:strRef>
              <c:f>'Avløpsbehandling-Resultater'!$B$107</c:f>
              <c:strCache>
                <c:ptCount val="1"/>
                <c:pt idx="0">
                  <c:v>kg CO₂ ekv./år</c:v>
                </c:pt>
              </c:strCache>
            </c:strRef>
          </c:cat>
          <c:val>
            <c:numRef>
              <c:f>'Avløpsbehandling-Resultater'!$B$108</c:f>
              <c:numCache>
                <c:formatCode>#,##0</c:formatCode>
                <c:ptCount val="1"/>
                <c:pt idx="0">
                  <c:v>0</c:v>
                </c:pt>
              </c:numCache>
            </c:numRef>
          </c:val>
          <c:extLst>
            <c:ext xmlns:c16="http://schemas.microsoft.com/office/drawing/2014/chart" uri="{C3380CC4-5D6E-409C-BE32-E72D297353CC}">
              <c16:uniqueId val="{00000000-500D-4113-86FC-01F857FBF9CE}"/>
            </c:ext>
          </c:extLst>
        </c:ser>
        <c:ser>
          <c:idx val="1"/>
          <c:order val="1"/>
          <c:tx>
            <c:strRef>
              <c:f>'Avløpsbehandling-Resultater'!$A$109</c:f>
              <c:strCache>
                <c:ptCount val="1"/>
                <c:pt idx="0">
                  <c:v>Kjemikalier - felling</c:v>
                </c:pt>
              </c:strCache>
            </c:strRef>
          </c:tx>
          <c:spPr>
            <a:solidFill>
              <a:schemeClr val="accent2"/>
            </a:solidFill>
            <a:ln>
              <a:noFill/>
            </a:ln>
            <a:effectLst/>
          </c:spPr>
          <c:invertIfNegative val="0"/>
          <c:cat>
            <c:strRef>
              <c:f>'Avløpsbehandling-Resultater'!$B$107</c:f>
              <c:strCache>
                <c:ptCount val="1"/>
                <c:pt idx="0">
                  <c:v>kg CO₂ ekv./år</c:v>
                </c:pt>
              </c:strCache>
            </c:strRef>
          </c:cat>
          <c:val>
            <c:numRef>
              <c:f>'Avløpsbehandling-Resultater'!$B$109</c:f>
              <c:numCache>
                <c:formatCode>#,##0</c:formatCode>
                <c:ptCount val="1"/>
                <c:pt idx="0">
                  <c:v>0</c:v>
                </c:pt>
              </c:numCache>
            </c:numRef>
          </c:val>
          <c:extLst>
            <c:ext xmlns:c16="http://schemas.microsoft.com/office/drawing/2014/chart" uri="{C3380CC4-5D6E-409C-BE32-E72D297353CC}">
              <c16:uniqueId val="{0000000C-500D-4113-86FC-01F857FBF9CE}"/>
            </c:ext>
          </c:extLst>
        </c:ser>
        <c:ser>
          <c:idx val="2"/>
          <c:order val="2"/>
          <c:tx>
            <c:strRef>
              <c:f>'Avløpsbehandling-Resultater'!$A$110</c:f>
              <c:strCache>
                <c:ptCount val="1"/>
                <c:pt idx="0">
                  <c:v>Karbonkilder</c:v>
                </c:pt>
              </c:strCache>
            </c:strRef>
          </c:tx>
          <c:spPr>
            <a:solidFill>
              <a:schemeClr val="accent3"/>
            </a:solidFill>
            <a:ln>
              <a:noFill/>
            </a:ln>
            <a:effectLst/>
          </c:spPr>
          <c:invertIfNegative val="0"/>
          <c:cat>
            <c:strRef>
              <c:f>'Avløpsbehandling-Resultater'!$B$107</c:f>
              <c:strCache>
                <c:ptCount val="1"/>
                <c:pt idx="0">
                  <c:v>kg CO₂ ekv./år</c:v>
                </c:pt>
              </c:strCache>
            </c:strRef>
          </c:cat>
          <c:val>
            <c:numRef>
              <c:f>'Avløpsbehandling-Resultater'!$B$110</c:f>
              <c:numCache>
                <c:formatCode>#,##0</c:formatCode>
                <c:ptCount val="1"/>
                <c:pt idx="0">
                  <c:v>0</c:v>
                </c:pt>
              </c:numCache>
            </c:numRef>
          </c:val>
          <c:extLst>
            <c:ext xmlns:c16="http://schemas.microsoft.com/office/drawing/2014/chart" uri="{C3380CC4-5D6E-409C-BE32-E72D297353CC}">
              <c16:uniqueId val="{0000000D-500D-4113-86FC-01F857FBF9CE}"/>
            </c:ext>
          </c:extLst>
        </c:ser>
        <c:ser>
          <c:idx val="3"/>
          <c:order val="3"/>
          <c:tx>
            <c:strRef>
              <c:f>'Avløpsbehandling-Resultater'!$A$111</c:f>
              <c:strCache>
                <c:ptCount val="1"/>
                <c:pt idx="0">
                  <c:v>Kjemikalier – pH-justering/korrosjonskontroll</c:v>
                </c:pt>
              </c:strCache>
            </c:strRef>
          </c:tx>
          <c:spPr>
            <a:solidFill>
              <a:schemeClr val="accent4"/>
            </a:solidFill>
            <a:ln>
              <a:noFill/>
            </a:ln>
            <a:effectLst/>
          </c:spPr>
          <c:invertIfNegative val="0"/>
          <c:cat>
            <c:strRef>
              <c:f>'Avløpsbehandling-Resultater'!$B$107</c:f>
              <c:strCache>
                <c:ptCount val="1"/>
                <c:pt idx="0">
                  <c:v>kg CO₂ ekv./år</c:v>
                </c:pt>
              </c:strCache>
            </c:strRef>
          </c:cat>
          <c:val>
            <c:numRef>
              <c:f>'Avløpsbehandling-Resultater'!$B$111</c:f>
              <c:numCache>
                <c:formatCode>#,##0</c:formatCode>
                <c:ptCount val="1"/>
                <c:pt idx="0">
                  <c:v>0</c:v>
                </c:pt>
              </c:numCache>
            </c:numRef>
          </c:val>
          <c:extLst>
            <c:ext xmlns:c16="http://schemas.microsoft.com/office/drawing/2014/chart" uri="{C3380CC4-5D6E-409C-BE32-E72D297353CC}">
              <c16:uniqueId val="{0000000E-500D-4113-86FC-01F857FBF9CE}"/>
            </c:ext>
          </c:extLst>
        </c:ser>
        <c:ser>
          <c:idx val="4"/>
          <c:order val="4"/>
          <c:tx>
            <c:strRef>
              <c:f>'Avløpsbehandling-Resultater'!$A$112</c:f>
              <c:strCache>
                <c:ptCount val="1"/>
                <c:pt idx="0">
                  <c:v>Andre kjemikalier</c:v>
                </c:pt>
              </c:strCache>
            </c:strRef>
          </c:tx>
          <c:spPr>
            <a:solidFill>
              <a:schemeClr val="accent5"/>
            </a:solidFill>
            <a:ln>
              <a:noFill/>
            </a:ln>
            <a:effectLst/>
          </c:spPr>
          <c:invertIfNegative val="0"/>
          <c:cat>
            <c:strRef>
              <c:f>'Avløpsbehandling-Resultater'!$B$107</c:f>
              <c:strCache>
                <c:ptCount val="1"/>
                <c:pt idx="0">
                  <c:v>kg CO₂ ekv./år</c:v>
                </c:pt>
              </c:strCache>
            </c:strRef>
          </c:cat>
          <c:val>
            <c:numRef>
              <c:f>'Avløpsbehandling-Resultater'!$B$112</c:f>
              <c:numCache>
                <c:formatCode>#,##0</c:formatCode>
                <c:ptCount val="1"/>
                <c:pt idx="0">
                  <c:v>0</c:v>
                </c:pt>
              </c:numCache>
            </c:numRef>
          </c:val>
          <c:extLst>
            <c:ext xmlns:c16="http://schemas.microsoft.com/office/drawing/2014/chart" uri="{C3380CC4-5D6E-409C-BE32-E72D297353CC}">
              <c16:uniqueId val="{0000000F-500D-4113-86FC-01F857FBF9CE}"/>
            </c:ext>
          </c:extLst>
        </c:ser>
        <c:ser>
          <c:idx val="5"/>
          <c:order val="5"/>
          <c:tx>
            <c:strRef>
              <c:f>'Avløpsbehandling-Resultater'!$A$114</c:f>
              <c:strCache>
                <c:ptCount val="1"/>
                <c:pt idx="0">
                  <c:v>Slam, ristgods og masser</c:v>
                </c:pt>
              </c:strCache>
            </c:strRef>
          </c:tx>
          <c:spPr>
            <a:solidFill>
              <a:schemeClr val="accent6"/>
            </a:solidFill>
            <a:ln>
              <a:noFill/>
            </a:ln>
            <a:effectLst/>
          </c:spPr>
          <c:invertIfNegative val="0"/>
          <c:cat>
            <c:strRef>
              <c:f>'Avløpsbehandling-Resultater'!$B$107</c:f>
              <c:strCache>
                <c:ptCount val="1"/>
                <c:pt idx="0">
                  <c:v>kg CO₂ ekv./år</c:v>
                </c:pt>
              </c:strCache>
            </c:strRef>
          </c:cat>
          <c:val>
            <c:numRef>
              <c:f>'Avløpsbehandling-Resultater'!$B$114</c:f>
              <c:numCache>
                <c:formatCode>#,##0</c:formatCode>
                <c:ptCount val="1"/>
                <c:pt idx="0">
                  <c:v>0</c:v>
                </c:pt>
              </c:numCache>
            </c:numRef>
          </c:val>
          <c:extLst>
            <c:ext xmlns:c16="http://schemas.microsoft.com/office/drawing/2014/chart" uri="{C3380CC4-5D6E-409C-BE32-E72D297353CC}">
              <c16:uniqueId val="{00000010-500D-4113-86FC-01F857FBF9CE}"/>
            </c:ext>
          </c:extLst>
        </c:ser>
        <c:dLbls>
          <c:showLegendKey val="0"/>
          <c:showVal val="0"/>
          <c:showCatName val="0"/>
          <c:showSerName val="0"/>
          <c:showPercent val="0"/>
          <c:showBubbleSize val="0"/>
        </c:dLbls>
        <c:gapWidth val="150"/>
        <c:overlap val="100"/>
        <c:axId val="915578736"/>
        <c:axId val="915583984"/>
      </c:barChart>
      <c:catAx>
        <c:axId val="915578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984"/>
        <c:crosses val="autoZero"/>
        <c:auto val="1"/>
        <c:lblAlgn val="ctr"/>
        <c:lblOffset val="100"/>
        <c:noMultiLvlLbl val="0"/>
      </c:catAx>
      <c:valAx>
        <c:axId val="9155839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78736"/>
        <c:crosses val="autoZero"/>
        <c:crossBetween val="between"/>
      </c:valAx>
      <c:spPr>
        <a:solidFill>
          <a:schemeClr val="bg2"/>
        </a:solidFill>
        <a:ln>
          <a:noFill/>
        </a:ln>
        <a:effectLst/>
      </c:spPr>
    </c:plotArea>
    <c:legend>
      <c:legendPos val="b"/>
      <c:legendEntry>
        <c:idx val="0"/>
        <c:delete val="1"/>
      </c:legendEntry>
      <c:layout>
        <c:manualLayout>
          <c:xMode val="edge"/>
          <c:yMode val="edge"/>
          <c:x val="0"/>
          <c:y val="0.64875816142816856"/>
          <c:w val="1"/>
          <c:h val="0.27200213254593175"/>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'Avløpsbehandling-Resultater'!$B$3</c:f>
              <c:strCache>
                <c:ptCount val="1"/>
                <c:pt idx="0">
                  <c:v>kg CO₂ ekv./år</c:v>
                </c:pt>
              </c:strCache>
            </c:strRef>
          </c:tx>
          <c:spPr>
            <a:solidFill>
              <a:schemeClr val="accent1"/>
            </a:solidFill>
            <a:ln>
              <a:noFill/>
            </a:ln>
            <a:effectLst/>
          </c:spPr>
          <c:invertIfNegative val="0"/>
          <c:cat>
            <c:strRef>
              <c:f>'Avløpsbehandling-Resultater'!$A$4:$A$11</c:f>
              <c:strCache>
                <c:ptCount val="8"/>
                <c:pt idx="0">
                  <c:v>Energi</c:v>
                </c:pt>
                <c:pt idx="1">
                  <c:v>Filtermasser</c:v>
                </c:pt>
                <c:pt idx="2">
                  <c:v>Kjemikalier - felling</c:v>
                </c:pt>
                <c:pt idx="3">
                  <c:v>Karbonkilder</c:v>
                </c:pt>
                <c:pt idx="4">
                  <c:v>Kjemikalier – pH-justering/korrosjonskontroll</c:v>
                </c:pt>
                <c:pt idx="5">
                  <c:v>Andre kjemikalier og forbruksvarer</c:v>
                </c:pt>
                <c:pt idx="6">
                  <c:v>Transport</c:v>
                </c:pt>
                <c:pt idx="7">
                  <c:v>Metan og Lystgassutslipp</c:v>
                </c:pt>
              </c:strCache>
            </c:strRef>
          </c:cat>
          <c:val>
            <c:numRef>
              <c:f>'Avløpsbehandling-Resultater'!$B$4:$B$11</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B6A6-42A1-A433-9F7ACBA5EDA3}"/>
            </c:ext>
          </c:extLst>
        </c:ser>
        <c:dLbls>
          <c:showLegendKey val="0"/>
          <c:showVal val="0"/>
          <c:showCatName val="0"/>
          <c:showSerName val="0"/>
          <c:showPercent val="0"/>
          <c:showBubbleSize val="0"/>
        </c:dLbls>
        <c:gapWidth val="219"/>
        <c:overlap val="-27"/>
        <c:axId val="656369800"/>
        <c:axId val="656370128"/>
      </c:barChart>
      <c:catAx>
        <c:axId val="65636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70128"/>
        <c:crosses val="autoZero"/>
        <c:auto val="1"/>
        <c:lblAlgn val="ctr"/>
        <c:lblOffset val="100"/>
        <c:noMultiLvlLbl val="0"/>
      </c:catAx>
      <c:valAx>
        <c:axId val="656370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69800"/>
        <c:crosses val="autoZero"/>
        <c:crossBetween val="between"/>
      </c:valAx>
      <c:spPr>
        <a:solidFill>
          <a:schemeClr val="bg2"/>
        </a:solidFill>
        <a:ln w="9525" cap="flat" cmpd="sng" algn="ctr">
          <a:noFill/>
          <a:prstDash val="solid"/>
          <a:round/>
          <a:headEnd type="none" w="med" len="med"/>
          <a:tailEnd type="none" w="med" len="med"/>
        </a:ln>
        <a:effectLst/>
      </c:spPr>
    </c:plotArea>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828390610052247"/>
          <c:y val="9.8434004474272932E-2"/>
          <c:w val="0.72294674614271348"/>
          <c:h val="0.34386020539378892"/>
        </c:manualLayout>
      </c:layout>
      <c:barChart>
        <c:barDir val="bar"/>
        <c:grouping val="percentStacked"/>
        <c:varyColors val="0"/>
        <c:ser>
          <c:idx val="0"/>
          <c:order val="0"/>
          <c:tx>
            <c:strRef>
              <c:f>'Avløpsbehandling-Resultater'!$A$16</c:f>
              <c:strCache>
                <c:ptCount val="1"/>
                <c:pt idx="0">
                  <c:v>Elektrisitet, Norsk forbruksmiks</c:v>
                </c:pt>
              </c:strCache>
            </c:strRef>
          </c:tx>
          <c:spPr>
            <a:solidFill>
              <a:schemeClr val="accent1"/>
            </a:solidFill>
            <a:ln>
              <a:noFill/>
            </a:ln>
            <a:effectLst/>
          </c:spPr>
          <c:invertIfNegative val="0"/>
          <c:cat>
            <c:strRef>
              <c:f>'Avløpsbehandling-Resultater'!$B$15</c:f>
              <c:strCache>
                <c:ptCount val="1"/>
                <c:pt idx="0">
                  <c:v>kg CO₂ ekv./år</c:v>
                </c:pt>
              </c:strCache>
            </c:strRef>
          </c:cat>
          <c:val>
            <c:numRef>
              <c:f>'Avløpsbehandling-Resultater'!$B$16</c:f>
              <c:numCache>
                <c:formatCode>#,##0</c:formatCode>
                <c:ptCount val="1"/>
                <c:pt idx="0">
                  <c:v>0</c:v>
                </c:pt>
              </c:numCache>
            </c:numRef>
          </c:val>
          <c:extLst>
            <c:ext xmlns:c16="http://schemas.microsoft.com/office/drawing/2014/chart" uri="{C3380CC4-5D6E-409C-BE32-E72D297353CC}">
              <c16:uniqueId val="{00000000-5F32-42B9-870D-9C45F6C489D1}"/>
            </c:ext>
          </c:extLst>
        </c:ser>
        <c:ser>
          <c:idx val="2"/>
          <c:order val="1"/>
          <c:tx>
            <c:strRef>
              <c:f>'Avløpsbehandling-Resultater'!$A$17</c:f>
              <c:strCache>
                <c:ptCount val="1"/>
                <c:pt idx="0">
                  <c:v>Fjernvarme</c:v>
                </c:pt>
              </c:strCache>
            </c:strRef>
          </c:tx>
          <c:spPr>
            <a:solidFill>
              <a:schemeClr val="accent3"/>
            </a:solidFill>
            <a:ln>
              <a:noFill/>
            </a:ln>
            <a:effectLst/>
          </c:spPr>
          <c:invertIfNegative val="0"/>
          <c:cat>
            <c:strRef>
              <c:f>'Avløpsbehandling-Resultater'!$B$15</c:f>
              <c:strCache>
                <c:ptCount val="1"/>
                <c:pt idx="0">
                  <c:v>kg CO₂ ekv./år</c:v>
                </c:pt>
              </c:strCache>
            </c:strRef>
          </c:cat>
          <c:val>
            <c:numRef>
              <c:f>'Avløpsbehandling-Resultater'!$B$17</c:f>
              <c:numCache>
                <c:formatCode>#,##0</c:formatCode>
                <c:ptCount val="1"/>
                <c:pt idx="0">
                  <c:v>0</c:v>
                </c:pt>
              </c:numCache>
            </c:numRef>
          </c:val>
          <c:extLst>
            <c:ext xmlns:c16="http://schemas.microsoft.com/office/drawing/2014/chart" uri="{C3380CC4-5D6E-409C-BE32-E72D297353CC}">
              <c16:uniqueId val="{00000002-5F32-42B9-870D-9C45F6C489D1}"/>
            </c:ext>
          </c:extLst>
        </c:ser>
        <c:ser>
          <c:idx val="3"/>
          <c:order val="2"/>
          <c:tx>
            <c:strRef>
              <c:f>'Avløpsbehandling-Resultater'!$A$18</c:f>
              <c:strCache>
                <c:ptCount val="1"/>
                <c:pt idx="0">
                  <c:v>Naturgassfyring</c:v>
                </c:pt>
              </c:strCache>
            </c:strRef>
          </c:tx>
          <c:spPr>
            <a:solidFill>
              <a:schemeClr val="accent4"/>
            </a:solidFill>
            <a:ln>
              <a:noFill/>
            </a:ln>
            <a:effectLst/>
          </c:spPr>
          <c:invertIfNegative val="0"/>
          <c:cat>
            <c:strRef>
              <c:f>'Avløpsbehandling-Resultater'!$B$15</c:f>
              <c:strCache>
                <c:ptCount val="1"/>
                <c:pt idx="0">
                  <c:v>kg CO₂ ekv./år</c:v>
                </c:pt>
              </c:strCache>
            </c:strRef>
          </c:cat>
          <c:val>
            <c:numRef>
              <c:f>'Avløpsbehandling-Resultater'!$B$18</c:f>
              <c:numCache>
                <c:formatCode>#,##0</c:formatCode>
                <c:ptCount val="1"/>
                <c:pt idx="0">
                  <c:v>0</c:v>
                </c:pt>
              </c:numCache>
            </c:numRef>
          </c:val>
          <c:extLst>
            <c:ext xmlns:c16="http://schemas.microsoft.com/office/drawing/2014/chart" uri="{C3380CC4-5D6E-409C-BE32-E72D297353CC}">
              <c16:uniqueId val="{00000003-5F32-42B9-870D-9C45F6C489D1}"/>
            </c:ext>
          </c:extLst>
        </c:ser>
        <c:ser>
          <c:idx val="4"/>
          <c:order val="3"/>
          <c:tx>
            <c:strRef>
              <c:f>'Avløpsbehandling-Resultater'!$A$19</c:f>
              <c:strCache>
                <c:ptCount val="1"/>
                <c:pt idx="0">
                  <c:v>Propanfyring</c:v>
                </c:pt>
              </c:strCache>
            </c:strRef>
          </c:tx>
          <c:spPr>
            <a:solidFill>
              <a:schemeClr val="accent5"/>
            </a:solidFill>
            <a:ln>
              <a:noFill/>
            </a:ln>
            <a:effectLst/>
          </c:spPr>
          <c:invertIfNegative val="0"/>
          <c:cat>
            <c:strRef>
              <c:f>'Avløpsbehandling-Resultater'!$B$15</c:f>
              <c:strCache>
                <c:ptCount val="1"/>
                <c:pt idx="0">
                  <c:v>kg CO₂ ekv./år</c:v>
                </c:pt>
              </c:strCache>
            </c:strRef>
          </c:cat>
          <c:val>
            <c:numRef>
              <c:f>'Avløpsbehandling-Resultater'!$B$19</c:f>
              <c:numCache>
                <c:formatCode>#,##0</c:formatCode>
                <c:ptCount val="1"/>
                <c:pt idx="0">
                  <c:v>0</c:v>
                </c:pt>
              </c:numCache>
            </c:numRef>
          </c:val>
          <c:extLst>
            <c:ext xmlns:c16="http://schemas.microsoft.com/office/drawing/2014/chart" uri="{C3380CC4-5D6E-409C-BE32-E72D297353CC}">
              <c16:uniqueId val="{00000004-5F32-42B9-870D-9C45F6C489D1}"/>
            </c:ext>
          </c:extLst>
        </c:ser>
        <c:ser>
          <c:idx val="5"/>
          <c:order val="4"/>
          <c:tx>
            <c:strRef>
              <c:f>'Avløpsbehandling-Resultater'!$A$20</c:f>
              <c:strCache>
                <c:ptCount val="1"/>
                <c:pt idx="0">
                  <c:v>Oljefyring</c:v>
                </c:pt>
              </c:strCache>
            </c:strRef>
          </c:tx>
          <c:spPr>
            <a:solidFill>
              <a:schemeClr val="accent6"/>
            </a:solidFill>
            <a:ln>
              <a:noFill/>
            </a:ln>
            <a:effectLst/>
          </c:spPr>
          <c:invertIfNegative val="0"/>
          <c:cat>
            <c:strRef>
              <c:f>'Avløpsbehandling-Resultater'!$B$15</c:f>
              <c:strCache>
                <c:ptCount val="1"/>
                <c:pt idx="0">
                  <c:v>kg CO₂ ekv./år</c:v>
                </c:pt>
              </c:strCache>
            </c:strRef>
          </c:cat>
          <c:val>
            <c:numRef>
              <c:f>'Avløpsbehandling-Resultater'!$B$20</c:f>
              <c:numCache>
                <c:formatCode>#,##0</c:formatCode>
                <c:ptCount val="1"/>
                <c:pt idx="0">
                  <c:v>0</c:v>
                </c:pt>
              </c:numCache>
            </c:numRef>
          </c:val>
          <c:extLst>
            <c:ext xmlns:c16="http://schemas.microsoft.com/office/drawing/2014/chart" uri="{C3380CC4-5D6E-409C-BE32-E72D297353CC}">
              <c16:uniqueId val="{00000005-5F32-42B9-870D-9C45F6C489D1}"/>
            </c:ext>
          </c:extLst>
        </c:ser>
        <c:ser>
          <c:idx val="1"/>
          <c:order val="5"/>
          <c:tx>
            <c:strRef>
              <c:f>'Avløpsbehandling-Resultater'!$A$21</c:f>
              <c:strCache>
                <c:ptCount val="1"/>
                <c:pt idx="0">
                  <c:v>Pelletsfyring</c:v>
                </c:pt>
              </c:strCache>
            </c:strRef>
          </c:tx>
          <c:spPr>
            <a:solidFill>
              <a:schemeClr val="accent2"/>
            </a:solidFill>
            <a:ln>
              <a:noFill/>
            </a:ln>
            <a:effectLst/>
          </c:spPr>
          <c:invertIfNegative val="0"/>
          <c:cat>
            <c:strRef>
              <c:f>'Avløpsbehandling-Resultater'!$B$15</c:f>
              <c:strCache>
                <c:ptCount val="1"/>
                <c:pt idx="0">
                  <c:v>kg CO₂ ekv./år</c:v>
                </c:pt>
              </c:strCache>
            </c:strRef>
          </c:cat>
          <c:val>
            <c:numRef>
              <c:f>'Avløpsbehandling-Resultater'!$B$21</c:f>
              <c:numCache>
                <c:formatCode>#,##0</c:formatCode>
                <c:ptCount val="1"/>
                <c:pt idx="0">
                  <c:v>0</c:v>
                </c:pt>
              </c:numCache>
            </c:numRef>
          </c:val>
          <c:extLst>
            <c:ext xmlns:c16="http://schemas.microsoft.com/office/drawing/2014/chart" uri="{C3380CC4-5D6E-409C-BE32-E72D297353CC}">
              <c16:uniqueId val="{00000001-1F1C-467B-8ECB-7B1033BB1619}"/>
            </c:ext>
          </c:extLst>
        </c:ser>
        <c:dLbls>
          <c:showLegendKey val="0"/>
          <c:showVal val="0"/>
          <c:showCatName val="0"/>
          <c:showSerName val="0"/>
          <c:showPercent val="0"/>
          <c:showBubbleSize val="0"/>
        </c:dLbls>
        <c:gapWidth val="150"/>
        <c:overlap val="100"/>
        <c:axId val="789187704"/>
        <c:axId val="789187376"/>
      </c:barChart>
      <c:catAx>
        <c:axId val="789187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376"/>
        <c:crosses val="autoZero"/>
        <c:auto val="1"/>
        <c:lblAlgn val="ctr"/>
        <c:lblOffset val="100"/>
        <c:noMultiLvlLbl val="0"/>
      </c:catAx>
      <c:valAx>
        <c:axId val="789187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704"/>
        <c:crosses val="autoZero"/>
        <c:crossBetween val="between"/>
      </c:valAx>
      <c:spPr>
        <a:solidFill>
          <a:schemeClr val="bg2"/>
        </a:solidFill>
        <a:ln>
          <a:noFill/>
        </a:ln>
        <a:effectLst/>
      </c:spPr>
    </c:plotArea>
    <c:legend>
      <c:legendPos val="b"/>
      <c:layout>
        <c:manualLayout>
          <c:xMode val="edge"/>
          <c:yMode val="edge"/>
          <c:x val="0.1621279466234945"/>
          <c:y val="0.60398864776049332"/>
          <c:w val="0.76356834706006582"/>
          <c:h val="0.3960112328616265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'Avløpsbehandling-Resultater'!$A$25</c:f>
              <c:strCache>
                <c:ptCount val="1"/>
                <c:pt idx="0">
                  <c:v>Filtralite</c:v>
                </c:pt>
              </c:strCache>
            </c:strRef>
          </c:tx>
          <c:spPr>
            <a:solidFill>
              <a:schemeClr val="accent1"/>
            </a:solidFill>
            <a:ln>
              <a:noFill/>
            </a:ln>
            <a:effectLst/>
          </c:spPr>
          <c:invertIfNegative val="0"/>
          <c:cat>
            <c:strRef>
              <c:f>'Avløpsbehandling-Resultater'!$B$24</c:f>
              <c:strCache>
                <c:ptCount val="1"/>
                <c:pt idx="0">
                  <c:v>kg CO₂ ekv./år</c:v>
                </c:pt>
              </c:strCache>
            </c:strRef>
          </c:cat>
          <c:val>
            <c:numRef>
              <c:f>'Avløpsbehandling-Resultater'!$B$25</c:f>
              <c:numCache>
                <c:formatCode>#,##0</c:formatCode>
                <c:ptCount val="1"/>
                <c:pt idx="0">
                  <c:v>0</c:v>
                </c:pt>
              </c:numCache>
            </c:numRef>
          </c:val>
          <c:extLst>
            <c:ext xmlns:c16="http://schemas.microsoft.com/office/drawing/2014/chart" uri="{C3380CC4-5D6E-409C-BE32-E72D297353CC}">
              <c16:uniqueId val="{00000000-1815-4DA4-BB63-690C9FA3AA69}"/>
            </c:ext>
          </c:extLst>
        </c:ser>
        <c:ser>
          <c:idx val="1"/>
          <c:order val="1"/>
          <c:tx>
            <c:strRef>
              <c:f>'Avløpsbehandling-Resultater'!$A$26</c:f>
              <c:strCache>
                <c:ptCount val="1"/>
                <c:pt idx="0">
                  <c:v>Antrasitt</c:v>
                </c:pt>
              </c:strCache>
            </c:strRef>
          </c:tx>
          <c:spPr>
            <a:solidFill>
              <a:schemeClr val="accent2"/>
            </a:solidFill>
            <a:ln>
              <a:noFill/>
            </a:ln>
            <a:effectLst/>
          </c:spPr>
          <c:invertIfNegative val="0"/>
          <c:cat>
            <c:strRef>
              <c:f>'Avløpsbehandling-Resultater'!$B$24</c:f>
              <c:strCache>
                <c:ptCount val="1"/>
                <c:pt idx="0">
                  <c:v>kg CO₂ ekv./år</c:v>
                </c:pt>
              </c:strCache>
            </c:strRef>
          </c:cat>
          <c:val>
            <c:numRef>
              <c:f>'Avløpsbehandling-Resultater'!$B$26</c:f>
              <c:numCache>
                <c:formatCode>#,##0</c:formatCode>
                <c:ptCount val="1"/>
                <c:pt idx="0">
                  <c:v>0</c:v>
                </c:pt>
              </c:numCache>
            </c:numRef>
          </c:val>
          <c:extLst>
            <c:ext xmlns:c16="http://schemas.microsoft.com/office/drawing/2014/chart" uri="{C3380CC4-5D6E-409C-BE32-E72D297353CC}">
              <c16:uniqueId val="{00000001-1815-4DA4-BB63-690C9FA3AA69}"/>
            </c:ext>
          </c:extLst>
        </c:ser>
        <c:ser>
          <c:idx val="2"/>
          <c:order val="2"/>
          <c:tx>
            <c:strRef>
              <c:f>'Avløpsbehandling-Resultater'!$A$27</c:f>
              <c:strCache>
                <c:ptCount val="1"/>
                <c:pt idx="0">
                  <c:v>Kvarts</c:v>
                </c:pt>
              </c:strCache>
            </c:strRef>
          </c:tx>
          <c:spPr>
            <a:solidFill>
              <a:schemeClr val="accent3"/>
            </a:solidFill>
            <a:ln>
              <a:noFill/>
            </a:ln>
            <a:effectLst/>
          </c:spPr>
          <c:invertIfNegative val="0"/>
          <c:cat>
            <c:strRef>
              <c:f>'Avløpsbehandling-Resultater'!$B$24</c:f>
              <c:strCache>
                <c:ptCount val="1"/>
                <c:pt idx="0">
                  <c:v>kg CO₂ ekv./år</c:v>
                </c:pt>
              </c:strCache>
            </c:strRef>
          </c:cat>
          <c:val>
            <c:numRef>
              <c:f>'Avløpsbehandling-Resultater'!$B$27</c:f>
              <c:numCache>
                <c:formatCode>#,##0</c:formatCode>
                <c:ptCount val="1"/>
                <c:pt idx="0">
                  <c:v>0</c:v>
                </c:pt>
              </c:numCache>
            </c:numRef>
          </c:val>
          <c:extLst>
            <c:ext xmlns:c16="http://schemas.microsoft.com/office/drawing/2014/chart" uri="{C3380CC4-5D6E-409C-BE32-E72D297353CC}">
              <c16:uniqueId val="{00000002-1815-4DA4-BB63-690C9FA3AA69}"/>
            </c:ext>
          </c:extLst>
        </c:ser>
        <c:ser>
          <c:idx val="3"/>
          <c:order val="3"/>
          <c:tx>
            <c:strRef>
              <c:f>'Avløpsbehandling-Resultater'!$A$28</c:f>
              <c:strCache>
                <c:ptCount val="1"/>
                <c:pt idx="0">
                  <c:v>Marmor</c:v>
                </c:pt>
              </c:strCache>
            </c:strRef>
          </c:tx>
          <c:spPr>
            <a:solidFill>
              <a:schemeClr val="accent4"/>
            </a:solidFill>
            <a:ln>
              <a:noFill/>
            </a:ln>
            <a:effectLst/>
          </c:spPr>
          <c:invertIfNegative val="0"/>
          <c:cat>
            <c:strRef>
              <c:f>'Avløpsbehandling-Resultater'!$B$24</c:f>
              <c:strCache>
                <c:ptCount val="1"/>
                <c:pt idx="0">
                  <c:v>kg CO₂ ekv./år</c:v>
                </c:pt>
              </c:strCache>
            </c:strRef>
          </c:cat>
          <c:val>
            <c:numRef>
              <c:f>'Avløpsbehandling-Resultater'!$B$28</c:f>
              <c:numCache>
                <c:formatCode>#,##0</c:formatCode>
                <c:ptCount val="1"/>
                <c:pt idx="0">
                  <c:v>0</c:v>
                </c:pt>
              </c:numCache>
            </c:numRef>
          </c:val>
          <c:extLst>
            <c:ext xmlns:c16="http://schemas.microsoft.com/office/drawing/2014/chart" uri="{C3380CC4-5D6E-409C-BE32-E72D297353CC}">
              <c16:uniqueId val="{00000003-1815-4DA4-BB63-690C9FA3AA69}"/>
            </c:ext>
          </c:extLst>
        </c:ser>
        <c:ser>
          <c:idx val="4"/>
          <c:order val="4"/>
          <c:tx>
            <c:strRef>
              <c:f>'Avløpsbehandling-Resultater'!$A$29</c:f>
              <c:strCache>
                <c:ptCount val="1"/>
                <c:pt idx="0">
                  <c:v>Mikronisert marmor </c:v>
                </c:pt>
              </c:strCache>
            </c:strRef>
          </c:tx>
          <c:spPr>
            <a:solidFill>
              <a:schemeClr val="accent5"/>
            </a:solidFill>
            <a:ln>
              <a:noFill/>
            </a:ln>
            <a:effectLst/>
          </c:spPr>
          <c:invertIfNegative val="0"/>
          <c:cat>
            <c:strRef>
              <c:f>'Avløpsbehandling-Resultater'!$B$24</c:f>
              <c:strCache>
                <c:ptCount val="1"/>
                <c:pt idx="0">
                  <c:v>kg CO₂ ekv./år</c:v>
                </c:pt>
              </c:strCache>
            </c:strRef>
          </c:cat>
          <c:val>
            <c:numRef>
              <c:f>'Avløpsbehandling-Resultater'!$B$29</c:f>
              <c:numCache>
                <c:formatCode>#,##0</c:formatCode>
                <c:ptCount val="1"/>
                <c:pt idx="0">
                  <c:v>0</c:v>
                </c:pt>
              </c:numCache>
            </c:numRef>
          </c:val>
          <c:extLst>
            <c:ext xmlns:c16="http://schemas.microsoft.com/office/drawing/2014/chart" uri="{C3380CC4-5D6E-409C-BE32-E72D297353CC}">
              <c16:uniqueId val="{00000000-78EC-43B4-83A2-4195378796C5}"/>
            </c:ext>
          </c:extLst>
        </c:ser>
        <c:dLbls>
          <c:showLegendKey val="0"/>
          <c:showVal val="0"/>
          <c:showCatName val="0"/>
          <c:showSerName val="0"/>
          <c:showPercent val="0"/>
          <c:showBubbleSize val="0"/>
        </c:dLbls>
        <c:gapWidth val="150"/>
        <c:overlap val="100"/>
        <c:axId val="753771744"/>
        <c:axId val="753773712"/>
      </c:barChart>
      <c:catAx>
        <c:axId val="753771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712"/>
        <c:crosses val="autoZero"/>
        <c:auto val="1"/>
        <c:lblAlgn val="ctr"/>
        <c:lblOffset val="100"/>
        <c:noMultiLvlLbl val="0"/>
      </c:catAx>
      <c:valAx>
        <c:axId val="75377371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174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3"/>
          <c:order val="0"/>
          <c:tx>
            <c:strRef>
              <c:f>'Avløpsbehandling-Resultater'!$A$33</c:f>
              <c:strCache>
                <c:ptCount val="1"/>
                <c:pt idx="0">
                  <c:v>ALS</c:v>
                </c:pt>
              </c:strCache>
            </c:strRef>
          </c:tx>
          <c:spPr>
            <a:solidFill>
              <a:schemeClr val="accent4"/>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'Avløpsbehandling-Resultater'!$B$33</c15:sqref>
                  </c15:fullRef>
                </c:ext>
              </c:extLst>
              <c:f>'Avløpsbehandling-Resultater'!$B$33</c:f>
              <c:numCache>
                <c:formatCode>#,##0</c:formatCode>
                <c:ptCount val="1"/>
                <c:pt idx="0">
                  <c:v>0</c:v>
                </c:pt>
              </c:numCache>
            </c:numRef>
          </c:val>
          <c:extLst>
            <c:ext xmlns:c16="http://schemas.microsoft.com/office/drawing/2014/chart" uri="{C3380CC4-5D6E-409C-BE32-E72D297353CC}">
              <c16:uniqueId val="{00000000-5237-453D-9A2D-79C4455635D3}"/>
            </c:ext>
          </c:extLst>
        </c:ser>
        <c:ser>
          <c:idx val="5"/>
          <c:order val="1"/>
          <c:tx>
            <c:strRef>
              <c:f>'Avløpsbehandling-Resultater'!$A$34</c:f>
              <c:strCache>
                <c:ptCount val="1"/>
                <c:pt idx="0">
                  <c:v>ALG</c:v>
                </c:pt>
              </c:strCache>
            </c:strRef>
          </c:tx>
          <c:spPr>
            <a:solidFill>
              <a:schemeClr val="accent6"/>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'Avløpsbehandling-Resultater'!$B$34</c15:sqref>
                  </c15:fullRef>
                </c:ext>
              </c:extLst>
              <c:f>'Avløpsbehandling-Resultater'!$B$34</c:f>
              <c:numCache>
                <c:formatCode>#,##0</c:formatCode>
                <c:ptCount val="1"/>
                <c:pt idx="0">
                  <c:v>0</c:v>
                </c:pt>
              </c:numCache>
            </c:numRef>
          </c:val>
          <c:extLst>
            <c:ext xmlns:c16="http://schemas.microsoft.com/office/drawing/2014/chart" uri="{C3380CC4-5D6E-409C-BE32-E72D297353CC}">
              <c16:uniqueId val="{00000000-7DC6-4B36-BA0E-6DBC5C50D99F}"/>
            </c:ext>
          </c:extLst>
        </c:ser>
        <c:ser>
          <c:idx val="2"/>
          <c:order val="2"/>
          <c:tx>
            <c:strRef>
              <c:f>'Avløpsbehandling-Resultater'!$A$36</c:f>
              <c:strCache>
                <c:ptCount val="1"/>
                <c:pt idx="0">
                  <c:v>Jern(III)Sulfat</c:v>
                </c:pt>
              </c:strCache>
            </c:strRef>
          </c:tx>
          <c:spPr>
            <a:solidFill>
              <a:schemeClr val="accent3"/>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'Avløpsbehandling-Resultater'!$B$36:$D$36</c15:sqref>
                  </c15:fullRef>
                </c:ext>
              </c:extLst>
              <c:f>'Avløpsbehandling-Resultater'!$B$36</c:f>
              <c:numCache>
                <c:formatCode>#,##0</c:formatCode>
                <c:ptCount val="1"/>
                <c:pt idx="0">
                  <c:v>0</c:v>
                </c:pt>
              </c:numCache>
            </c:numRef>
          </c:val>
          <c:extLst>
            <c:ext xmlns:c16="http://schemas.microsoft.com/office/drawing/2014/chart" uri="{C3380CC4-5D6E-409C-BE32-E72D297353CC}">
              <c16:uniqueId val="{00000000-30C3-4EE9-B944-12A7D73A37BF}"/>
            </c:ext>
          </c:extLst>
        </c:ser>
        <c:ser>
          <c:idx val="4"/>
          <c:order val="3"/>
          <c:tx>
            <c:strRef>
              <c:f>'Avløpsbehandling-Resultater'!$A$38</c:f>
              <c:strCache>
                <c:ptCount val="1"/>
                <c:pt idx="0">
                  <c:v>PIX-118, PIX 318</c:v>
                </c:pt>
              </c:strCache>
            </c:strRef>
          </c:tx>
          <c:spPr>
            <a:solidFill>
              <a:schemeClr val="accent5"/>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'Avløpsbehandling-Resultater'!$B$38:$D$38</c15:sqref>
                  </c15:fullRef>
                </c:ext>
              </c:extLst>
              <c:f>'Avløpsbehandling-Resultater'!$B$38</c:f>
              <c:numCache>
                <c:formatCode>#,##0</c:formatCode>
                <c:ptCount val="1"/>
                <c:pt idx="0">
                  <c:v>0</c:v>
                </c:pt>
              </c:numCache>
            </c:numRef>
          </c:val>
          <c:extLst>
            <c:ext xmlns:c16="http://schemas.microsoft.com/office/drawing/2014/chart" uri="{C3380CC4-5D6E-409C-BE32-E72D297353CC}">
              <c16:uniqueId val="{00000001-30C3-4EE9-B944-12A7D73A37BF}"/>
            </c:ext>
          </c:extLst>
        </c:ser>
        <c:ser>
          <c:idx val="6"/>
          <c:order val="4"/>
          <c:tx>
            <c:strRef>
              <c:f>'Avløpsbehandling-Resultater'!$A$40</c:f>
              <c:strCache>
                <c:ptCount val="1"/>
                <c:pt idx="0">
                  <c:v>PIX-113</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'Avløpsbehandling-Resultater'!$B$40:$D$40</c15:sqref>
                  </c15:fullRef>
                </c:ext>
              </c:extLst>
              <c:f>'Avløpsbehandling-Resultater'!$B$40</c:f>
              <c:numCache>
                <c:formatCode>#,##0</c:formatCode>
                <c:ptCount val="1"/>
                <c:pt idx="0">
                  <c:v>0</c:v>
                </c:pt>
              </c:numCache>
            </c:numRef>
          </c:val>
          <c:extLst>
            <c:ext xmlns:c16="http://schemas.microsoft.com/office/drawing/2014/chart" uri="{C3380CC4-5D6E-409C-BE32-E72D297353CC}">
              <c16:uniqueId val="{00000002-30C3-4EE9-B944-12A7D73A37BF}"/>
            </c:ext>
          </c:extLst>
        </c:ser>
        <c:ser>
          <c:idx val="8"/>
          <c:order val="5"/>
          <c:tx>
            <c:strRef>
              <c:f>'Avløpsbehandling-Resultater'!$A$42</c:f>
              <c:strCache>
                <c:ptCount val="1"/>
                <c:pt idx="0">
                  <c:v>PIX-111, Plusjern S314</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'Avløpsbehandling-Resultater'!$B$42:$D$42</c15:sqref>
                  </c15:fullRef>
                </c:ext>
              </c:extLst>
              <c:f>'Avløpsbehandling-Resultater'!$B$42</c:f>
              <c:numCache>
                <c:formatCode>#,##0</c:formatCode>
                <c:ptCount val="1"/>
                <c:pt idx="0">
                  <c:v>0</c:v>
                </c:pt>
              </c:numCache>
            </c:numRef>
          </c:val>
          <c:extLst>
            <c:ext xmlns:c16="http://schemas.microsoft.com/office/drawing/2014/chart" uri="{C3380CC4-5D6E-409C-BE32-E72D297353CC}">
              <c16:uniqueId val="{00000003-30C3-4EE9-B944-12A7D73A37BF}"/>
            </c:ext>
          </c:extLst>
        </c:ser>
        <c:ser>
          <c:idx val="9"/>
          <c:order val="6"/>
          <c:tx>
            <c:strRef>
              <c:f>'Avløpsbehandling-Resultater'!$A$43</c:f>
              <c:strCache>
                <c:ptCount val="1"/>
                <c:pt idx="0">
                  <c:v>PIX-110</c:v>
                </c:pt>
              </c:strCache>
            </c:strRef>
          </c:tx>
          <c:spPr>
            <a:solidFill>
              <a:schemeClr val="accent4">
                <a:lumMod val="60000"/>
              </a:schemeClr>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'Avløpsbehandling-Resultater'!$B$43:$D$43</c15:sqref>
                  </c15:fullRef>
                </c:ext>
              </c:extLst>
              <c:f>'Avløpsbehandling-Resultater'!$B$43</c:f>
              <c:numCache>
                <c:formatCode>#,##0</c:formatCode>
                <c:ptCount val="1"/>
                <c:pt idx="0">
                  <c:v>0</c:v>
                </c:pt>
              </c:numCache>
            </c:numRef>
          </c:val>
          <c:extLst>
            <c:ext xmlns:c16="http://schemas.microsoft.com/office/drawing/2014/chart" uri="{C3380CC4-5D6E-409C-BE32-E72D297353CC}">
              <c16:uniqueId val="{00000004-30C3-4EE9-B944-12A7D73A37BF}"/>
            </c:ext>
          </c:extLst>
        </c:ser>
        <c:ser>
          <c:idx val="11"/>
          <c:order val="7"/>
          <c:tx>
            <c:strRef>
              <c:f>'Avløpsbehandling-Resultater'!$A$45</c:f>
              <c:strCache>
                <c:ptCount val="1"/>
                <c:pt idx="0">
                  <c:v>Ekomix 1091</c:v>
                </c:pt>
              </c:strCache>
            </c:strRef>
          </c:tx>
          <c:spPr>
            <a:solidFill>
              <a:schemeClr val="accent6">
                <a:lumMod val="60000"/>
              </a:schemeClr>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'Avløpsbehandling-Resultater'!$B$45:$D$45</c15:sqref>
                  </c15:fullRef>
                </c:ext>
              </c:extLst>
              <c:f>'Avløpsbehandling-Resultater'!$B$45</c:f>
              <c:numCache>
                <c:formatCode>#,##0</c:formatCode>
                <c:ptCount val="1"/>
                <c:pt idx="0">
                  <c:v>0</c:v>
                </c:pt>
              </c:numCache>
            </c:numRef>
          </c:val>
          <c:extLst>
            <c:ext xmlns:c16="http://schemas.microsoft.com/office/drawing/2014/chart" uri="{C3380CC4-5D6E-409C-BE32-E72D297353CC}">
              <c16:uniqueId val="{00000005-30C3-4EE9-B944-12A7D73A37BF}"/>
            </c:ext>
          </c:extLst>
        </c:ser>
        <c:ser>
          <c:idx val="13"/>
          <c:order val="8"/>
          <c:tx>
            <c:strRef>
              <c:f>'Avløpsbehandling-Resultater'!$A$47</c:f>
              <c:strCache>
                <c:ptCount val="1"/>
                <c:pt idx="0">
                  <c:v>PAX-18, Ekoflock 89</c:v>
                </c:pt>
              </c:strCache>
            </c:strRef>
          </c:tx>
          <c:spPr>
            <a:solidFill>
              <a:schemeClr val="accent2">
                <a:lumMod val="80000"/>
                <a:lumOff val="20000"/>
              </a:schemeClr>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'Avløpsbehandling-Resultater'!$B$47:$D$47</c15:sqref>
                  </c15:fullRef>
                </c:ext>
              </c:extLst>
              <c:f>'Avløpsbehandling-Resultater'!$B$47</c:f>
              <c:numCache>
                <c:formatCode>#,##0</c:formatCode>
                <c:ptCount val="1"/>
                <c:pt idx="0">
                  <c:v>0</c:v>
                </c:pt>
              </c:numCache>
            </c:numRef>
          </c:val>
          <c:extLst>
            <c:ext xmlns:c16="http://schemas.microsoft.com/office/drawing/2014/chart" uri="{C3380CC4-5D6E-409C-BE32-E72D297353CC}">
              <c16:uniqueId val="{00000006-30C3-4EE9-B944-12A7D73A37BF}"/>
            </c:ext>
          </c:extLst>
        </c:ser>
        <c:ser>
          <c:idx val="14"/>
          <c:order val="9"/>
          <c:tx>
            <c:strRef>
              <c:f>'Avløpsbehandling-Resultater'!$A$48</c:f>
              <c:strCache>
                <c:ptCount val="1"/>
                <c:pt idx="0">
                  <c:v>PAX-15, XL61</c:v>
                </c:pt>
              </c:strCache>
            </c:strRef>
          </c:tx>
          <c:spPr>
            <a:solidFill>
              <a:schemeClr val="accent3">
                <a:lumMod val="80000"/>
                <a:lumOff val="20000"/>
              </a:schemeClr>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'Avløpsbehandling-Resultater'!$B$48:$D$48</c15:sqref>
                  </c15:fullRef>
                </c:ext>
              </c:extLst>
              <c:f>'Avløpsbehandling-Resultater'!$B$48</c:f>
              <c:numCache>
                <c:formatCode>#,##0</c:formatCode>
                <c:ptCount val="1"/>
                <c:pt idx="0">
                  <c:v>0</c:v>
                </c:pt>
              </c:numCache>
            </c:numRef>
          </c:val>
          <c:extLst>
            <c:ext xmlns:c16="http://schemas.microsoft.com/office/drawing/2014/chart" uri="{C3380CC4-5D6E-409C-BE32-E72D297353CC}">
              <c16:uniqueId val="{00000007-30C3-4EE9-B944-12A7D73A37BF}"/>
            </c:ext>
          </c:extLst>
        </c:ser>
        <c:ser>
          <c:idx val="15"/>
          <c:order val="10"/>
          <c:tx>
            <c:strRef>
              <c:f>'Avløpsbehandling-Resultater'!$A$49</c:f>
              <c:strCache>
                <c:ptCount val="1"/>
                <c:pt idx="0">
                  <c:v>PAX-LX100</c:v>
                </c:pt>
              </c:strCache>
            </c:strRef>
          </c:tx>
          <c:spPr>
            <a:solidFill>
              <a:schemeClr val="accent4">
                <a:lumMod val="80000"/>
                <a:lumOff val="20000"/>
              </a:schemeClr>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'Avløpsbehandling-Resultater'!$B$49:$D$49</c15:sqref>
                  </c15:fullRef>
                </c:ext>
              </c:extLst>
              <c:f>'Avløpsbehandling-Resultater'!$B$49</c:f>
              <c:numCache>
                <c:formatCode>#,##0</c:formatCode>
                <c:ptCount val="1"/>
                <c:pt idx="0">
                  <c:v>0</c:v>
                </c:pt>
              </c:numCache>
            </c:numRef>
          </c:val>
          <c:extLst>
            <c:ext xmlns:c16="http://schemas.microsoft.com/office/drawing/2014/chart" uri="{C3380CC4-5D6E-409C-BE32-E72D297353CC}">
              <c16:uniqueId val="{00000008-30C3-4EE9-B944-12A7D73A37BF}"/>
            </c:ext>
          </c:extLst>
        </c:ser>
        <c:ser>
          <c:idx val="16"/>
          <c:order val="11"/>
          <c:tx>
            <c:strRef>
              <c:f>'Avløpsbehandling-Resultater'!$A$50</c:f>
              <c:strCache>
                <c:ptCount val="1"/>
                <c:pt idx="0">
                  <c:v>PAX-215</c:v>
                </c:pt>
              </c:strCache>
            </c:strRef>
          </c:tx>
          <c:spPr>
            <a:solidFill>
              <a:schemeClr val="accent5">
                <a:lumMod val="80000"/>
                <a:lumOff val="20000"/>
              </a:schemeClr>
            </a:solidFill>
            <a:ln>
              <a:noFill/>
            </a:ln>
            <a:effectLst/>
          </c:spPr>
          <c:invertIfNegative val="0"/>
          <c:cat>
            <c:strRef>
              <c:extLst>
                <c:ext xmlns:c15="http://schemas.microsoft.com/office/drawing/2012/chart" uri="{02D57815-91ED-43cb-92C2-25804820EDAC}">
                  <c15:fullRef>
                    <c15:sqref>'Avløpsbehandling-Resultater'!$B$35</c15:sqref>
                  </c15:fullRef>
                </c:ext>
              </c:extLst>
              <c:f>'Avløpsbehandling-Resultater'!$B$35</c:f>
              <c:strCache>
                <c:ptCount val="1"/>
                <c:pt idx="0">
                  <c:v>kg CO₂ ekv./år</c:v>
                </c:pt>
              </c:strCache>
            </c:strRef>
          </c:cat>
          <c:val>
            <c:numRef>
              <c:extLst>
                <c:ext xmlns:c15="http://schemas.microsoft.com/office/drawing/2012/chart" uri="{02D57815-91ED-43cb-92C2-25804820EDAC}">
                  <c15:fullRef>
                    <c15:sqref>'Avløpsbehandling-Resultater'!$B$50:$D$50</c15:sqref>
                  </c15:fullRef>
                </c:ext>
              </c:extLst>
              <c:f>'Avløpsbehandling-Resultater'!$B$50</c:f>
              <c:numCache>
                <c:formatCode>#,##0</c:formatCode>
                <c:ptCount val="1"/>
                <c:pt idx="0">
                  <c:v>0</c:v>
                </c:pt>
              </c:numCache>
            </c:numRef>
          </c:val>
          <c:extLst>
            <c:ext xmlns:c16="http://schemas.microsoft.com/office/drawing/2014/chart" uri="{C3380CC4-5D6E-409C-BE32-E72D297353CC}">
              <c16:uniqueId val="{00000009-30C3-4EE9-B944-12A7D73A37BF}"/>
            </c:ext>
          </c:extLst>
        </c:ser>
        <c:ser>
          <c:idx val="0"/>
          <c:order val="12"/>
          <c:tx>
            <c:strRef>
              <c:f>'Avløpsbehandling-Resultater'!$A$52</c:f>
              <c:strCache>
                <c:ptCount val="1"/>
                <c:pt idx="0">
                  <c:v>Polyakrylamid</c:v>
                </c:pt>
              </c:strCache>
            </c:strRef>
          </c:tx>
          <c:spPr>
            <a:solidFill>
              <a:schemeClr val="accent1"/>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'Avløpsbehandling-Resultater'!$B$52</c15:sqref>
                  </c15:fullRef>
                </c:ext>
              </c:extLst>
              <c:f>'Avløpsbehandling-Resultater'!$B$52</c:f>
              <c:numCache>
                <c:formatCode>#,##0</c:formatCode>
                <c:ptCount val="1"/>
                <c:pt idx="0">
                  <c:v>0</c:v>
                </c:pt>
              </c:numCache>
            </c:numRef>
          </c:val>
          <c:extLst>
            <c:ext xmlns:c16="http://schemas.microsoft.com/office/drawing/2014/chart" uri="{C3380CC4-5D6E-409C-BE32-E72D297353CC}">
              <c16:uniqueId val="{00000000-862B-4F4A-8789-01905CD5A241}"/>
            </c:ext>
          </c:extLst>
        </c:ser>
        <c:ser>
          <c:idx val="1"/>
          <c:order val="13"/>
          <c:tx>
            <c:strRef>
              <c:f>'Avløpsbehandling-Resultater'!$A$53</c:f>
              <c:strCache>
                <c:ptCount val="1"/>
                <c:pt idx="0">
                  <c:v>Zetag 8180/7550/8147</c:v>
                </c:pt>
              </c:strCache>
            </c:strRef>
          </c:tx>
          <c:spPr>
            <a:solidFill>
              <a:schemeClr val="accent2"/>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'Avløpsbehandling-Resultater'!$B$53</c15:sqref>
                  </c15:fullRef>
                </c:ext>
              </c:extLst>
              <c:f>'Avløpsbehandling-Resultater'!$B$53</c:f>
              <c:numCache>
                <c:formatCode>#,##0</c:formatCode>
                <c:ptCount val="1"/>
                <c:pt idx="0">
                  <c:v>0</c:v>
                </c:pt>
              </c:numCache>
            </c:numRef>
          </c:val>
          <c:extLst>
            <c:ext xmlns:c16="http://schemas.microsoft.com/office/drawing/2014/chart" uri="{C3380CC4-5D6E-409C-BE32-E72D297353CC}">
              <c16:uniqueId val="{00000000-1499-4749-9244-6FFE4C4FACE8}"/>
            </c:ext>
          </c:extLst>
        </c:ser>
        <c:dLbls>
          <c:showLegendKey val="0"/>
          <c:showVal val="0"/>
          <c:showCatName val="0"/>
          <c:showSerName val="0"/>
          <c:showPercent val="0"/>
          <c:showBubbleSize val="0"/>
        </c:dLbls>
        <c:gapWidth val="150"/>
        <c:overlap val="100"/>
        <c:axId val="759087608"/>
        <c:axId val="759090232"/>
      </c:barChart>
      <c:catAx>
        <c:axId val="759087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90232"/>
        <c:crosses val="autoZero"/>
        <c:auto val="1"/>
        <c:lblAlgn val="ctr"/>
        <c:lblOffset val="100"/>
        <c:noMultiLvlLbl val="0"/>
      </c:catAx>
      <c:valAx>
        <c:axId val="759090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87608"/>
        <c:crosses val="autoZero"/>
        <c:crossBetween val="between"/>
      </c:valAx>
      <c:spPr>
        <a:solidFill>
          <a:schemeClr val="bg2"/>
        </a:solidFill>
        <a:ln>
          <a:noFill/>
        </a:ln>
        <a:effectLst/>
      </c:spPr>
    </c:plotArea>
    <c:legend>
      <c:legendPos val="b"/>
      <c:layout>
        <c:manualLayout>
          <c:xMode val="edge"/>
          <c:yMode val="edge"/>
          <c:x val="7.7117324290101444E-2"/>
          <c:y val="0.71411366908499152"/>
          <c:w val="0.85354044250607841"/>
          <c:h val="0.2777797571683630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'Avløpsbehandling-Resultater'!$A$56</c:f>
              <c:strCache>
                <c:ptCount val="1"/>
                <c:pt idx="0">
                  <c:v>Metanol</c:v>
                </c:pt>
              </c:strCache>
            </c:strRef>
          </c:tx>
          <c:spPr>
            <a:solidFill>
              <a:schemeClr val="accent1"/>
            </a:solidFill>
            <a:ln>
              <a:noFill/>
            </a:ln>
            <a:effectLst/>
          </c:spPr>
          <c:invertIfNegative val="0"/>
          <c:cat>
            <c:strRef>
              <c:f>'Avløpsbehandling-Resultater'!$B$55</c:f>
              <c:strCache>
                <c:ptCount val="1"/>
                <c:pt idx="0">
                  <c:v>kg CO₂ ekv./år</c:v>
                </c:pt>
              </c:strCache>
            </c:strRef>
          </c:cat>
          <c:val>
            <c:numRef>
              <c:f>'Avløpsbehandling-Resultater'!$B$56</c:f>
              <c:numCache>
                <c:formatCode>#,##0</c:formatCode>
                <c:ptCount val="1"/>
                <c:pt idx="0">
                  <c:v>0</c:v>
                </c:pt>
              </c:numCache>
            </c:numRef>
          </c:val>
          <c:extLst>
            <c:ext xmlns:c16="http://schemas.microsoft.com/office/drawing/2014/chart" uri="{C3380CC4-5D6E-409C-BE32-E72D297353CC}">
              <c16:uniqueId val="{00000000-6908-4D31-BD90-E67CD85574F4}"/>
            </c:ext>
          </c:extLst>
        </c:ser>
        <c:ser>
          <c:idx val="1"/>
          <c:order val="1"/>
          <c:tx>
            <c:strRef>
              <c:f>'Avløpsbehandling-Resultater'!$A$57</c:f>
              <c:strCache>
                <c:ptCount val="1"/>
                <c:pt idx="0">
                  <c:v>Etanol</c:v>
                </c:pt>
              </c:strCache>
            </c:strRef>
          </c:tx>
          <c:spPr>
            <a:solidFill>
              <a:schemeClr val="accent2"/>
            </a:solidFill>
            <a:ln>
              <a:noFill/>
            </a:ln>
            <a:effectLst/>
          </c:spPr>
          <c:invertIfNegative val="0"/>
          <c:cat>
            <c:strRef>
              <c:f>'Avløpsbehandling-Resultater'!$B$55</c:f>
              <c:strCache>
                <c:ptCount val="1"/>
                <c:pt idx="0">
                  <c:v>kg CO₂ ekv./år</c:v>
                </c:pt>
              </c:strCache>
            </c:strRef>
          </c:cat>
          <c:val>
            <c:numRef>
              <c:f>'Avløpsbehandling-Resultater'!$B$57</c:f>
              <c:numCache>
                <c:formatCode>#,##0</c:formatCode>
                <c:ptCount val="1"/>
                <c:pt idx="0">
                  <c:v>0</c:v>
                </c:pt>
              </c:numCache>
            </c:numRef>
          </c:val>
          <c:extLst>
            <c:ext xmlns:c16="http://schemas.microsoft.com/office/drawing/2014/chart" uri="{C3380CC4-5D6E-409C-BE32-E72D297353CC}">
              <c16:uniqueId val="{00000001-6908-4D31-BD90-E67CD85574F4}"/>
            </c:ext>
          </c:extLst>
        </c:ser>
        <c:ser>
          <c:idx val="2"/>
          <c:order val="2"/>
          <c:tx>
            <c:strRef>
              <c:f>'Avløpsbehandling-Resultater'!$A$58</c:f>
              <c:strCache>
                <c:ptCount val="1"/>
                <c:pt idx="0">
                  <c:v>Sekundol 70</c:v>
                </c:pt>
              </c:strCache>
            </c:strRef>
          </c:tx>
          <c:spPr>
            <a:solidFill>
              <a:schemeClr val="accent3"/>
            </a:solidFill>
            <a:ln>
              <a:noFill/>
            </a:ln>
            <a:effectLst/>
          </c:spPr>
          <c:invertIfNegative val="0"/>
          <c:cat>
            <c:strRef>
              <c:f>'Avløpsbehandling-Resultater'!$B$55</c:f>
              <c:strCache>
                <c:ptCount val="1"/>
                <c:pt idx="0">
                  <c:v>kg CO₂ ekv./år</c:v>
                </c:pt>
              </c:strCache>
            </c:strRef>
          </c:cat>
          <c:val>
            <c:numRef>
              <c:f>'Avløpsbehandling-Resultater'!$B$58</c:f>
              <c:numCache>
                <c:formatCode>#,##0</c:formatCode>
                <c:ptCount val="1"/>
                <c:pt idx="0">
                  <c:v>0</c:v>
                </c:pt>
              </c:numCache>
            </c:numRef>
          </c:val>
          <c:extLst>
            <c:ext xmlns:c16="http://schemas.microsoft.com/office/drawing/2014/chart" uri="{C3380CC4-5D6E-409C-BE32-E72D297353CC}">
              <c16:uniqueId val="{00000002-6908-4D31-BD90-E67CD85574F4}"/>
            </c:ext>
          </c:extLst>
        </c:ser>
        <c:ser>
          <c:idx val="3"/>
          <c:order val="3"/>
          <c:tx>
            <c:strRef>
              <c:f>'Avløpsbehandling-Resultater'!$A$59</c:f>
              <c:strCache>
                <c:ptCount val="1"/>
                <c:pt idx="0">
                  <c:v>Sekundol 85</c:v>
                </c:pt>
              </c:strCache>
            </c:strRef>
          </c:tx>
          <c:spPr>
            <a:solidFill>
              <a:schemeClr val="accent4"/>
            </a:solidFill>
            <a:ln>
              <a:noFill/>
            </a:ln>
            <a:effectLst/>
          </c:spPr>
          <c:invertIfNegative val="0"/>
          <c:cat>
            <c:strRef>
              <c:f>'Avløpsbehandling-Resultater'!$B$55</c:f>
              <c:strCache>
                <c:ptCount val="1"/>
                <c:pt idx="0">
                  <c:v>kg CO₂ ekv./år</c:v>
                </c:pt>
              </c:strCache>
            </c:strRef>
          </c:cat>
          <c:val>
            <c:numRef>
              <c:f>'Avløpsbehandling-Resultater'!$B$59</c:f>
              <c:numCache>
                <c:formatCode>#,##0</c:formatCode>
                <c:ptCount val="1"/>
                <c:pt idx="0">
                  <c:v>0</c:v>
                </c:pt>
              </c:numCache>
            </c:numRef>
          </c:val>
          <c:extLst>
            <c:ext xmlns:c16="http://schemas.microsoft.com/office/drawing/2014/chart" uri="{C3380CC4-5D6E-409C-BE32-E72D297353CC}">
              <c16:uniqueId val="{00000003-6908-4D31-BD90-E67CD85574F4}"/>
            </c:ext>
          </c:extLst>
        </c:ser>
        <c:ser>
          <c:idx val="4"/>
          <c:order val="4"/>
          <c:tx>
            <c:strRef>
              <c:f>'Avløpsbehandling-Resultater'!$A$60</c:f>
              <c:strCache>
                <c:ptCount val="1"/>
                <c:pt idx="0">
                  <c:v>Mosstanol</c:v>
                </c:pt>
              </c:strCache>
            </c:strRef>
          </c:tx>
          <c:spPr>
            <a:solidFill>
              <a:schemeClr val="accent5"/>
            </a:solidFill>
            <a:ln>
              <a:noFill/>
            </a:ln>
            <a:effectLst/>
          </c:spPr>
          <c:invertIfNegative val="0"/>
          <c:cat>
            <c:strRef>
              <c:f>'Avløpsbehandling-Resultater'!$B$55</c:f>
              <c:strCache>
                <c:ptCount val="1"/>
                <c:pt idx="0">
                  <c:v>kg CO₂ ekv./år</c:v>
                </c:pt>
              </c:strCache>
            </c:strRef>
          </c:cat>
          <c:val>
            <c:numRef>
              <c:f>'Avløpsbehandling-Resultater'!$B$60</c:f>
              <c:numCache>
                <c:formatCode>#,##0</c:formatCode>
                <c:ptCount val="1"/>
                <c:pt idx="0">
                  <c:v>0</c:v>
                </c:pt>
              </c:numCache>
            </c:numRef>
          </c:val>
          <c:extLst>
            <c:ext xmlns:c16="http://schemas.microsoft.com/office/drawing/2014/chart" uri="{C3380CC4-5D6E-409C-BE32-E72D297353CC}">
              <c16:uniqueId val="{00000004-6908-4D31-BD90-E67CD85574F4}"/>
            </c:ext>
          </c:extLst>
        </c:ser>
        <c:ser>
          <c:idx val="5"/>
          <c:order val="5"/>
          <c:tx>
            <c:strRef>
              <c:f>'Avløpsbehandling-Resultater'!$A$61</c:f>
              <c:strCache>
                <c:ptCount val="1"/>
                <c:pt idx="0">
                  <c:v>Eddiksyre</c:v>
                </c:pt>
              </c:strCache>
            </c:strRef>
          </c:tx>
          <c:spPr>
            <a:solidFill>
              <a:schemeClr val="accent6"/>
            </a:solidFill>
            <a:ln>
              <a:noFill/>
            </a:ln>
            <a:effectLst/>
          </c:spPr>
          <c:invertIfNegative val="0"/>
          <c:cat>
            <c:strRef>
              <c:f>'Avløpsbehandling-Resultater'!$B$55</c:f>
              <c:strCache>
                <c:ptCount val="1"/>
                <c:pt idx="0">
                  <c:v>kg CO₂ ekv./år</c:v>
                </c:pt>
              </c:strCache>
            </c:strRef>
          </c:cat>
          <c:val>
            <c:numRef>
              <c:f>'Avløpsbehandling-Resultater'!$B$61</c:f>
              <c:numCache>
                <c:formatCode>#,##0</c:formatCode>
                <c:ptCount val="1"/>
                <c:pt idx="0">
                  <c:v>0</c:v>
                </c:pt>
              </c:numCache>
            </c:numRef>
          </c:val>
          <c:extLst>
            <c:ext xmlns:c16="http://schemas.microsoft.com/office/drawing/2014/chart" uri="{C3380CC4-5D6E-409C-BE32-E72D297353CC}">
              <c16:uniqueId val="{00000005-6908-4D31-BD90-E67CD85574F4}"/>
            </c:ext>
          </c:extLst>
        </c:ser>
        <c:ser>
          <c:idx val="6"/>
          <c:order val="6"/>
          <c:tx>
            <c:strRef>
              <c:f>'Avløpsbehandling-Resultater'!$A$62</c:f>
              <c:strCache>
                <c:ptCount val="1"/>
                <c:pt idx="0">
                  <c:v>Glyserin</c:v>
                </c:pt>
              </c:strCache>
            </c:strRef>
          </c:tx>
          <c:spPr>
            <a:solidFill>
              <a:schemeClr val="accent1">
                <a:lumMod val="60000"/>
              </a:schemeClr>
            </a:solidFill>
            <a:ln>
              <a:noFill/>
            </a:ln>
            <a:effectLst/>
          </c:spPr>
          <c:invertIfNegative val="0"/>
          <c:cat>
            <c:strRef>
              <c:f>'Avløpsbehandling-Resultater'!$B$55</c:f>
              <c:strCache>
                <c:ptCount val="1"/>
                <c:pt idx="0">
                  <c:v>kg CO₂ ekv./år</c:v>
                </c:pt>
              </c:strCache>
            </c:strRef>
          </c:cat>
          <c:val>
            <c:numRef>
              <c:f>'Avløpsbehandling-Resultater'!$B$62</c:f>
              <c:numCache>
                <c:formatCode>#,##0</c:formatCode>
                <c:ptCount val="1"/>
                <c:pt idx="0">
                  <c:v>0</c:v>
                </c:pt>
              </c:numCache>
            </c:numRef>
          </c:val>
          <c:extLst>
            <c:ext xmlns:c16="http://schemas.microsoft.com/office/drawing/2014/chart" uri="{C3380CC4-5D6E-409C-BE32-E72D297353CC}">
              <c16:uniqueId val="{00000006-6908-4D31-BD90-E67CD85574F4}"/>
            </c:ext>
          </c:extLst>
        </c:ser>
        <c:dLbls>
          <c:showLegendKey val="0"/>
          <c:showVal val="0"/>
          <c:showCatName val="0"/>
          <c:showSerName val="0"/>
          <c:showPercent val="0"/>
          <c:showBubbleSize val="0"/>
        </c:dLbls>
        <c:gapWidth val="150"/>
        <c:overlap val="100"/>
        <c:axId val="662568040"/>
        <c:axId val="662569680"/>
      </c:barChart>
      <c:catAx>
        <c:axId val="662568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9680"/>
        <c:crosses val="autoZero"/>
        <c:auto val="1"/>
        <c:lblAlgn val="ctr"/>
        <c:lblOffset val="100"/>
        <c:noMultiLvlLbl val="0"/>
      </c:catAx>
      <c:valAx>
        <c:axId val="6625696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8040"/>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159545864093989"/>
          <c:y val="8.0497621661178187E-2"/>
          <c:w val="0.73184352634346761"/>
          <c:h val="0.25851721882733925"/>
        </c:manualLayout>
      </c:layout>
      <c:barChart>
        <c:barDir val="bar"/>
        <c:grouping val="percentStacked"/>
        <c:varyColors val="0"/>
        <c:ser>
          <c:idx val="0"/>
          <c:order val="0"/>
          <c:tx>
            <c:strRef>
              <c:f>'Avløpsbehandling-Resultater'!$A$65</c:f>
              <c:strCache>
                <c:ptCount val="1"/>
                <c:pt idx="0">
                  <c:v>Brent kalk (CaO)</c:v>
                </c:pt>
              </c:strCache>
            </c:strRef>
          </c:tx>
          <c:spPr>
            <a:solidFill>
              <a:schemeClr val="accent1"/>
            </a:solidFill>
            <a:ln>
              <a:noFill/>
            </a:ln>
            <a:effectLst/>
          </c:spPr>
          <c:invertIfNegative val="0"/>
          <c:cat>
            <c:strRef>
              <c:f>'Avløpsbehandling-Resultater'!$B$64</c:f>
              <c:strCache>
                <c:ptCount val="1"/>
                <c:pt idx="0">
                  <c:v>kg CO₂ ekv./år</c:v>
                </c:pt>
              </c:strCache>
            </c:strRef>
          </c:cat>
          <c:val>
            <c:numRef>
              <c:f>'Avløpsbehandling-Resultater'!$B$65</c:f>
              <c:numCache>
                <c:formatCode>#,##0</c:formatCode>
                <c:ptCount val="1"/>
                <c:pt idx="0">
                  <c:v>0</c:v>
                </c:pt>
              </c:numCache>
            </c:numRef>
          </c:val>
          <c:extLst>
            <c:ext xmlns:c16="http://schemas.microsoft.com/office/drawing/2014/chart" uri="{C3380CC4-5D6E-409C-BE32-E72D297353CC}">
              <c16:uniqueId val="{00000000-0C2C-41DC-81C5-22C556FF4A85}"/>
            </c:ext>
          </c:extLst>
        </c:ser>
        <c:ser>
          <c:idx val="1"/>
          <c:order val="1"/>
          <c:tx>
            <c:strRef>
              <c:f>'Avløpsbehandling-Resultater'!$A$66</c:f>
              <c:strCache>
                <c:ptCount val="1"/>
                <c:pt idx="0">
                  <c:v>Lesket kalk, Ca(OH)2</c:v>
                </c:pt>
              </c:strCache>
            </c:strRef>
          </c:tx>
          <c:spPr>
            <a:solidFill>
              <a:schemeClr val="accent2"/>
            </a:solidFill>
            <a:ln>
              <a:noFill/>
            </a:ln>
            <a:effectLst/>
          </c:spPr>
          <c:invertIfNegative val="0"/>
          <c:cat>
            <c:strRef>
              <c:f>'Avløpsbehandling-Resultater'!$B$64</c:f>
              <c:strCache>
                <c:ptCount val="1"/>
                <c:pt idx="0">
                  <c:v>kg CO₂ ekv./år</c:v>
                </c:pt>
              </c:strCache>
            </c:strRef>
          </c:cat>
          <c:val>
            <c:numRef>
              <c:f>'Avløpsbehandling-Resultater'!$B$66</c:f>
              <c:numCache>
                <c:formatCode>#,##0</c:formatCode>
                <c:ptCount val="1"/>
                <c:pt idx="0">
                  <c:v>0</c:v>
                </c:pt>
              </c:numCache>
            </c:numRef>
          </c:val>
          <c:extLst>
            <c:ext xmlns:c16="http://schemas.microsoft.com/office/drawing/2014/chart" uri="{C3380CC4-5D6E-409C-BE32-E72D297353CC}">
              <c16:uniqueId val="{00000001-0C2C-41DC-81C5-22C556FF4A85}"/>
            </c:ext>
          </c:extLst>
        </c:ser>
        <c:ser>
          <c:idx val="2"/>
          <c:order val="2"/>
          <c:tx>
            <c:strRef>
              <c:f>'Avløpsbehandling-Resultater'!$A$67</c:f>
              <c:strCache>
                <c:ptCount val="1"/>
                <c:pt idx="0">
                  <c:v>Kalsiumkarbonat, CaCO3</c:v>
                </c:pt>
              </c:strCache>
            </c:strRef>
          </c:tx>
          <c:spPr>
            <a:solidFill>
              <a:schemeClr val="accent3"/>
            </a:solidFill>
            <a:ln>
              <a:noFill/>
            </a:ln>
            <a:effectLst/>
          </c:spPr>
          <c:invertIfNegative val="0"/>
          <c:cat>
            <c:strRef>
              <c:f>'Avløpsbehandling-Resultater'!$B$64</c:f>
              <c:strCache>
                <c:ptCount val="1"/>
                <c:pt idx="0">
                  <c:v>kg CO₂ ekv./år</c:v>
                </c:pt>
              </c:strCache>
            </c:strRef>
          </c:cat>
          <c:val>
            <c:numRef>
              <c:f>'Avløpsbehandling-Resultater'!$B$67</c:f>
              <c:numCache>
                <c:formatCode>#,##0</c:formatCode>
                <c:ptCount val="1"/>
                <c:pt idx="0">
                  <c:v>0</c:v>
                </c:pt>
              </c:numCache>
            </c:numRef>
          </c:val>
          <c:extLst>
            <c:ext xmlns:c16="http://schemas.microsoft.com/office/drawing/2014/chart" uri="{C3380CC4-5D6E-409C-BE32-E72D297353CC}">
              <c16:uniqueId val="{00000002-0C2C-41DC-81C5-22C556FF4A85}"/>
            </c:ext>
          </c:extLst>
        </c:ser>
        <c:ser>
          <c:idx val="3"/>
          <c:order val="3"/>
          <c:tx>
            <c:strRef>
              <c:f>'Avløpsbehandling-Resultater'!$A$68</c:f>
              <c:strCache>
                <c:ptCount val="1"/>
                <c:pt idx="0">
                  <c:v>Natriumhydroksid, NaOH 50%</c:v>
                </c:pt>
              </c:strCache>
            </c:strRef>
          </c:tx>
          <c:spPr>
            <a:solidFill>
              <a:schemeClr val="accent4"/>
            </a:solidFill>
            <a:ln>
              <a:noFill/>
            </a:ln>
            <a:effectLst/>
          </c:spPr>
          <c:invertIfNegative val="0"/>
          <c:cat>
            <c:strRef>
              <c:f>'Avløpsbehandling-Resultater'!$B$64</c:f>
              <c:strCache>
                <c:ptCount val="1"/>
                <c:pt idx="0">
                  <c:v>kg CO₂ ekv./år</c:v>
                </c:pt>
              </c:strCache>
            </c:strRef>
          </c:cat>
          <c:val>
            <c:numRef>
              <c:f>'Avløpsbehandling-Resultater'!$B$68</c:f>
              <c:numCache>
                <c:formatCode>#,##0</c:formatCode>
                <c:ptCount val="1"/>
                <c:pt idx="0">
                  <c:v>0</c:v>
                </c:pt>
              </c:numCache>
            </c:numRef>
          </c:val>
          <c:extLst>
            <c:ext xmlns:c16="http://schemas.microsoft.com/office/drawing/2014/chart" uri="{C3380CC4-5D6E-409C-BE32-E72D297353CC}">
              <c16:uniqueId val="{00000003-0C2C-41DC-81C5-22C556FF4A85}"/>
            </c:ext>
          </c:extLst>
        </c:ser>
        <c:ser>
          <c:idx val="4"/>
          <c:order val="4"/>
          <c:tx>
            <c:strRef>
              <c:f>'Avløpsbehandling-Resultater'!$A$69</c:f>
              <c:strCache>
                <c:ptCount val="1"/>
                <c:pt idx="0">
                  <c:v>Natriumhydroksid, NaOH 30%</c:v>
                </c:pt>
              </c:strCache>
            </c:strRef>
          </c:tx>
          <c:spPr>
            <a:solidFill>
              <a:schemeClr val="accent5"/>
            </a:solidFill>
            <a:ln>
              <a:noFill/>
            </a:ln>
            <a:effectLst/>
          </c:spPr>
          <c:invertIfNegative val="0"/>
          <c:cat>
            <c:strRef>
              <c:f>'Avløpsbehandling-Resultater'!$B$64</c:f>
              <c:strCache>
                <c:ptCount val="1"/>
                <c:pt idx="0">
                  <c:v>kg CO₂ ekv./år</c:v>
                </c:pt>
              </c:strCache>
            </c:strRef>
          </c:cat>
          <c:val>
            <c:numRef>
              <c:f>'Avløpsbehandling-Resultater'!$B$69</c:f>
              <c:numCache>
                <c:formatCode>#,##0</c:formatCode>
                <c:ptCount val="1"/>
                <c:pt idx="0">
                  <c:v>0</c:v>
                </c:pt>
              </c:numCache>
            </c:numRef>
          </c:val>
          <c:extLst>
            <c:ext xmlns:c16="http://schemas.microsoft.com/office/drawing/2014/chart" uri="{C3380CC4-5D6E-409C-BE32-E72D297353CC}">
              <c16:uniqueId val="{00000000-BCF7-422E-A272-3EB2978B4F40}"/>
            </c:ext>
          </c:extLst>
        </c:ser>
        <c:dLbls>
          <c:showLegendKey val="0"/>
          <c:showVal val="0"/>
          <c:showCatName val="0"/>
          <c:showSerName val="0"/>
          <c:showPercent val="0"/>
          <c:showBubbleSize val="0"/>
        </c:dLbls>
        <c:gapWidth val="150"/>
        <c:overlap val="100"/>
        <c:axId val="753773056"/>
        <c:axId val="753773384"/>
      </c:barChart>
      <c:catAx>
        <c:axId val="75377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384"/>
        <c:crosses val="autoZero"/>
        <c:auto val="1"/>
        <c:lblAlgn val="ctr"/>
        <c:lblOffset val="100"/>
        <c:noMultiLvlLbl val="0"/>
      </c:catAx>
      <c:valAx>
        <c:axId val="753773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056"/>
        <c:crosses val="autoZero"/>
        <c:crossBetween val="between"/>
      </c:valAx>
      <c:spPr>
        <a:solidFill>
          <a:schemeClr val="bg2"/>
        </a:solidFill>
        <a:ln>
          <a:noFill/>
        </a:ln>
        <a:effectLst/>
      </c:spPr>
    </c:plotArea>
    <c:legend>
      <c:legendPos val="b"/>
      <c:layout>
        <c:manualLayout>
          <c:xMode val="edge"/>
          <c:yMode val="edge"/>
          <c:x val="4.921301390921793E-2"/>
          <c:y val="0.44518814950546109"/>
          <c:w val="0.93186750570696997"/>
          <c:h val="0.359497653353155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'Avløpsbehandling-Resultater'!$A$72</c:f>
              <c:strCache>
                <c:ptCount val="1"/>
                <c:pt idx="0">
                  <c:v>Ammoniakk (NH3)</c:v>
                </c:pt>
              </c:strCache>
            </c:strRef>
          </c:tx>
          <c:spPr>
            <a:solidFill>
              <a:schemeClr val="accent1"/>
            </a:solidFill>
            <a:ln>
              <a:noFill/>
            </a:ln>
            <a:effectLst/>
          </c:spPr>
          <c:invertIfNegative val="0"/>
          <c:cat>
            <c:strRef>
              <c:f>'Avløpsbehandling-Resultater'!$B$71</c:f>
              <c:strCache>
                <c:ptCount val="1"/>
                <c:pt idx="0">
                  <c:v>kg CO₂ ekv./år</c:v>
                </c:pt>
              </c:strCache>
            </c:strRef>
          </c:cat>
          <c:val>
            <c:numRef>
              <c:f>'Avløpsbehandling-Resultater'!$B$72</c:f>
              <c:numCache>
                <c:formatCode>#,##0</c:formatCode>
                <c:ptCount val="1"/>
                <c:pt idx="0">
                  <c:v>0</c:v>
                </c:pt>
              </c:numCache>
            </c:numRef>
          </c:val>
          <c:extLst>
            <c:ext xmlns:c16="http://schemas.microsoft.com/office/drawing/2014/chart" uri="{C3380CC4-5D6E-409C-BE32-E72D297353CC}">
              <c16:uniqueId val="{00000000-9548-4376-A124-41604B5C5CBF}"/>
            </c:ext>
          </c:extLst>
        </c:ser>
        <c:ser>
          <c:idx val="1"/>
          <c:order val="1"/>
          <c:tx>
            <c:strRef>
              <c:f>'Avløpsbehandling-Resultater'!$A$73</c:f>
              <c:strCache>
                <c:ptCount val="1"/>
                <c:pt idx="0">
                  <c:v>Aktivt kull - biogen opprinnelse</c:v>
                </c:pt>
              </c:strCache>
            </c:strRef>
          </c:tx>
          <c:spPr>
            <a:solidFill>
              <a:schemeClr val="accent2"/>
            </a:solidFill>
            <a:ln>
              <a:noFill/>
            </a:ln>
            <a:effectLst/>
          </c:spPr>
          <c:invertIfNegative val="0"/>
          <c:cat>
            <c:strRef>
              <c:f>'Avløpsbehandling-Resultater'!$B$71</c:f>
              <c:strCache>
                <c:ptCount val="1"/>
                <c:pt idx="0">
                  <c:v>kg CO₂ ekv./år</c:v>
                </c:pt>
              </c:strCache>
            </c:strRef>
          </c:cat>
          <c:val>
            <c:numRef>
              <c:f>'Avløpsbehandling-Resultater'!$B$73</c:f>
              <c:numCache>
                <c:formatCode>#,##0</c:formatCode>
                <c:ptCount val="1"/>
                <c:pt idx="0">
                  <c:v>0</c:v>
                </c:pt>
              </c:numCache>
            </c:numRef>
          </c:val>
          <c:extLst>
            <c:ext xmlns:c16="http://schemas.microsoft.com/office/drawing/2014/chart" uri="{C3380CC4-5D6E-409C-BE32-E72D297353CC}">
              <c16:uniqueId val="{00000001-9548-4376-A124-41604B5C5CBF}"/>
            </c:ext>
          </c:extLst>
        </c:ser>
        <c:ser>
          <c:idx val="2"/>
          <c:order val="2"/>
          <c:tx>
            <c:strRef>
              <c:f>'Avløpsbehandling-Resultater'!$A$74</c:f>
              <c:strCache>
                <c:ptCount val="1"/>
                <c:pt idx="0">
                  <c:v>Aktivt kull - fossil opprinnelse</c:v>
                </c:pt>
              </c:strCache>
            </c:strRef>
          </c:tx>
          <c:spPr>
            <a:solidFill>
              <a:schemeClr val="accent3"/>
            </a:solidFill>
            <a:ln>
              <a:noFill/>
            </a:ln>
            <a:effectLst/>
          </c:spPr>
          <c:invertIfNegative val="0"/>
          <c:cat>
            <c:strRef>
              <c:f>'Avløpsbehandling-Resultater'!$B$71</c:f>
              <c:strCache>
                <c:ptCount val="1"/>
                <c:pt idx="0">
                  <c:v>kg CO₂ ekv./år</c:v>
                </c:pt>
              </c:strCache>
            </c:strRef>
          </c:cat>
          <c:val>
            <c:numRef>
              <c:f>'Avløpsbehandling-Resultater'!$B$74</c:f>
              <c:numCache>
                <c:formatCode>#,##0</c:formatCode>
                <c:ptCount val="1"/>
                <c:pt idx="0">
                  <c:v>0</c:v>
                </c:pt>
              </c:numCache>
            </c:numRef>
          </c:val>
          <c:extLst>
            <c:ext xmlns:c16="http://schemas.microsoft.com/office/drawing/2014/chart" uri="{C3380CC4-5D6E-409C-BE32-E72D297353CC}">
              <c16:uniqueId val="{00000002-9548-4376-A124-41604B5C5CBF}"/>
            </c:ext>
          </c:extLst>
        </c:ser>
        <c:ser>
          <c:idx val="3"/>
          <c:order val="3"/>
          <c:tx>
            <c:strRef>
              <c:f>'Avløpsbehandling-Resultater'!$A$75</c:f>
              <c:strCache>
                <c:ptCount val="1"/>
                <c:pt idx="0">
                  <c:v>Aktivt kull - regenerert</c:v>
                </c:pt>
              </c:strCache>
            </c:strRef>
          </c:tx>
          <c:spPr>
            <a:solidFill>
              <a:schemeClr val="accent4"/>
            </a:solidFill>
            <a:ln>
              <a:noFill/>
            </a:ln>
            <a:effectLst/>
          </c:spPr>
          <c:invertIfNegative val="0"/>
          <c:cat>
            <c:strRef>
              <c:f>'Avløpsbehandling-Resultater'!$B$71</c:f>
              <c:strCache>
                <c:ptCount val="1"/>
                <c:pt idx="0">
                  <c:v>kg CO₂ ekv./år</c:v>
                </c:pt>
              </c:strCache>
            </c:strRef>
          </c:cat>
          <c:val>
            <c:numRef>
              <c:f>'Avløpsbehandling-Resultater'!$B$75</c:f>
              <c:numCache>
                <c:formatCode>#,##0</c:formatCode>
                <c:ptCount val="1"/>
                <c:pt idx="0">
                  <c:v>0</c:v>
                </c:pt>
              </c:numCache>
            </c:numRef>
          </c:val>
          <c:extLst>
            <c:ext xmlns:c16="http://schemas.microsoft.com/office/drawing/2014/chart" uri="{C3380CC4-5D6E-409C-BE32-E72D297353CC}">
              <c16:uniqueId val="{00000003-9548-4376-A124-41604B5C5CBF}"/>
            </c:ext>
          </c:extLst>
        </c:ser>
        <c:ser>
          <c:idx val="4"/>
          <c:order val="4"/>
          <c:tx>
            <c:strRef>
              <c:f>'Avløpsbehandling-Resultater'!$A$76</c:f>
              <c:strCache>
                <c:ptCount val="1"/>
                <c:pt idx="0">
                  <c:v>Sitronsyre</c:v>
                </c:pt>
              </c:strCache>
            </c:strRef>
          </c:tx>
          <c:spPr>
            <a:solidFill>
              <a:schemeClr val="accent5"/>
            </a:solidFill>
            <a:ln>
              <a:noFill/>
            </a:ln>
            <a:effectLst/>
          </c:spPr>
          <c:invertIfNegative val="0"/>
          <c:cat>
            <c:strRef>
              <c:f>'Avløpsbehandling-Resultater'!$B$71</c:f>
              <c:strCache>
                <c:ptCount val="1"/>
                <c:pt idx="0">
                  <c:v>kg CO₂ ekv./år</c:v>
                </c:pt>
              </c:strCache>
            </c:strRef>
          </c:cat>
          <c:val>
            <c:numRef>
              <c:f>'Avløpsbehandling-Resultater'!$B$76</c:f>
              <c:numCache>
                <c:formatCode>#,##0</c:formatCode>
                <c:ptCount val="1"/>
                <c:pt idx="0">
                  <c:v>0</c:v>
                </c:pt>
              </c:numCache>
            </c:numRef>
          </c:val>
          <c:extLst>
            <c:ext xmlns:c16="http://schemas.microsoft.com/office/drawing/2014/chart" uri="{C3380CC4-5D6E-409C-BE32-E72D297353CC}">
              <c16:uniqueId val="{00000004-9548-4376-A124-41604B5C5CBF}"/>
            </c:ext>
          </c:extLst>
        </c:ser>
        <c:ser>
          <c:idx val="5"/>
          <c:order val="5"/>
          <c:tx>
            <c:strRef>
              <c:f>'Avløpsbehandling-Resultater'!$A$77</c:f>
              <c:strCache>
                <c:ptCount val="1"/>
                <c:pt idx="0">
                  <c:v>CO₂ til vannbehandling</c:v>
                </c:pt>
              </c:strCache>
            </c:strRef>
          </c:tx>
          <c:spPr>
            <a:solidFill>
              <a:schemeClr val="accent6"/>
            </a:solidFill>
            <a:ln>
              <a:noFill/>
            </a:ln>
            <a:effectLst/>
          </c:spPr>
          <c:invertIfNegative val="0"/>
          <c:cat>
            <c:strRef>
              <c:f>'Avløpsbehandling-Resultater'!$B$71</c:f>
              <c:strCache>
                <c:ptCount val="1"/>
                <c:pt idx="0">
                  <c:v>kg CO₂ ekv./år</c:v>
                </c:pt>
              </c:strCache>
            </c:strRef>
          </c:cat>
          <c:val>
            <c:numRef>
              <c:f>'Avløpsbehandling-Resultater'!$B$77</c:f>
              <c:numCache>
                <c:formatCode>#,##0</c:formatCode>
                <c:ptCount val="1"/>
                <c:pt idx="0">
                  <c:v>0</c:v>
                </c:pt>
              </c:numCache>
            </c:numRef>
          </c:val>
          <c:extLst>
            <c:ext xmlns:c16="http://schemas.microsoft.com/office/drawing/2014/chart" uri="{C3380CC4-5D6E-409C-BE32-E72D297353CC}">
              <c16:uniqueId val="{00000005-9548-4376-A124-41604B5C5CBF}"/>
            </c:ext>
          </c:extLst>
        </c:ser>
        <c:ser>
          <c:idx val="6"/>
          <c:order val="6"/>
          <c:tx>
            <c:strRef>
              <c:f>'Avløpsbehandling-Resultater'!$A$78</c:f>
              <c:strCache>
                <c:ptCount val="1"/>
                <c:pt idx="0">
                  <c:v>Flytende oksygen til ozonproduksjon</c:v>
                </c:pt>
              </c:strCache>
            </c:strRef>
          </c:tx>
          <c:spPr>
            <a:solidFill>
              <a:schemeClr val="accent1">
                <a:lumMod val="60000"/>
              </a:schemeClr>
            </a:solidFill>
            <a:ln>
              <a:noFill/>
            </a:ln>
            <a:effectLst/>
          </c:spPr>
          <c:invertIfNegative val="0"/>
          <c:cat>
            <c:strRef>
              <c:f>'Avløpsbehandling-Resultater'!$B$71</c:f>
              <c:strCache>
                <c:ptCount val="1"/>
                <c:pt idx="0">
                  <c:v>kg CO₂ ekv./år</c:v>
                </c:pt>
              </c:strCache>
            </c:strRef>
          </c:cat>
          <c:val>
            <c:numRef>
              <c:f>'Avløpsbehandling-Resultater'!$B$78</c:f>
              <c:numCache>
                <c:formatCode>#,##0</c:formatCode>
                <c:ptCount val="1"/>
                <c:pt idx="0">
                  <c:v>0</c:v>
                </c:pt>
              </c:numCache>
            </c:numRef>
          </c:val>
          <c:extLst>
            <c:ext xmlns:c16="http://schemas.microsoft.com/office/drawing/2014/chart" uri="{C3380CC4-5D6E-409C-BE32-E72D297353CC}">
              <c16:uniqueId val="{00000006-9548-4376-A124-41604B5C5CBF}"/>
            </c:ext>
          </c:extLst>
        </c:ser>
        <c:ser>
          <c:idx val="7"/>
          <c:order val="7"/>
          <c:tx>
            <c:strRef>
              <c:f>'Avløpsbehandling-Resultater'!$A$79</c:f>
              <c:strCache>
                <c:ptCount val="1"/>
                <c:pt idx="0">
                  <c:v>Fosforsyre</c:v>
                </c:pt>
              </c:strCache>
            </c:strRef>
          </c:tx>
          <c:spPr>
            <a:solidFill>
              <a:schemeClr val="accent2">
                <a:lumMod val="60000"/>
              </a:schemeClr>
            </a:solidFill>
            <a:ln>
              <a:noFill/>
            </a:ln>
            <a:effectLst/>
          </c:spPr>
          <c:invertIfNegative val="0"/>
          <c:cat>
            <c:strRef>
              <c:f>'Avløpsbehandling-Resultater'!$B$71</c:f>
              <c:strCache>
                <c:ptCount val="1"/>
                <c:pt idx="0">
                  <c:v>kg CO₂ ekv./år</c:v>
                </c:pt>
              </c:strCache>
            </c:strRef>
          </c:cat>
          <c:val>
            <c:numRef>
              <c:f>'Avløpsbehandling-Resultater'!$B$79</c:f>
              <c:numCache>
                <c:formatCode>#,##0</c:formatCode>
                <c:ptCount val="1"/>
                <c:pt idx="0">
                  <c:v>0</c:v>
                </c:pt>
              </c:numCache>
            </c:numRef>
          </c:val>
          <c:extLst>
            <c:ext xmlns:c16="http://schemas.microsoft.com/office/drawing/2014/chart" uri="{C3380CC4-5D6E-409C-BE32-E72D297353CC}">
              <c16:uniqueId val="{00000007-9548-4376-A124-41604B5C5CBF}"/>
            </c:ext>
          </c:extLst>
        </c:ser>
        <c:ser>
          <c:idx val="8"/>
          <c:order val="8"/>
          <c:tx>
            <c:strRef>
              <c:f>'Avløpsbehandling-Resultater'!$A$80</c:f>
              <c:strCache>
                <c:ptCount val="1"/>
                <c:pt idx="0">
                  <c:v>Hydrogenperoksid (H2O2) </c:v>
                </c:pt>
              </c:strCache>
            </c:strRef>
          </c:tx>
          <c:spPr>
            <a:solidFill>
              <a:schemeClr val="accent3">
                <a:lumMod val="60000"/>
              </a:schemeClr>
            </a:solidFill>
            <a:ln>
              <a:noFill/>
            </a:ln>
            <a:effectLst/>
          </c:spPr>
          <c:invertIfNegative val="0"/>
          <c:cat>
            <c:strRef>
              <c:f>'Avløpsbehandling-Resultater'!$B$71</c:f>
              <c:strCache>
                <c:ptCount val="1"/>
                <c:pt idx="0">
                  <c:v>kg CO₂ ekv./år</c:v>
                </c:pt>
              </c:strCache>
            </c:strRef>
          </c:cat>
          <c:val>
            <c:numRef>
              <c:f>'Avløpsbehandling-Resultater'!$B$80</c:f>
              <c:numCache>
                <c:formatCode>#,##0</c:formatCode>
                <c:ptCount val="1"/>
                <c:pt idx="0">
                  <c:v>0</c:v>
                </c:pt>
              </c:numCache>
            </c:numRef>
          </c:val>
          <c:extLst>
            <c:ext xmlns:c16="http://schemas.microsoft.com/office/drawing/2014/chart" uri="{C3380CC4-5D6E-409C-BE32-E72D297353CC}">
              <c16:uniqueId val="{00000008-9548-4376-A124-41604B5C5CBF}"/>
            </c:ext>
          </c:extLst>
        </c:ser>
        <c:ser>
          <c:idx val="9"/>
          <c:order val="9"/>
          <c:tx>
            <c:strRef>
              <c:f>'Avløpsbehandling-Resultater'!$A$81</c:f>
              <c:strCache>
                <c:ptCount val="1"/>
                <c:pt idx="0">
                  <c:v>Ionebyttesalt</c:v>
                </c:pt>
              </c:strCache>
            </c:strRef>
          </c:tx>
          <c:spPr>
            <a:solidFill>
              <a:schemeClr val="accent4">
                <a:lumMod val="60000"/>
              </a:schemeClr>
            </a:solidFill>
            <a:ln>
              <a:noFill/>
            </a:ln>
            <a:effectLst/>
          </c:spPr>
          <c:invertIfNegative val="0"/>
          <c:cat>
            <c:strRef>
              <c:f>'Avløpsbehandling-Resultater'!$B$71</c:f>
              <c:strCache>
                <c:ptCount val="1"/>
                <c:pt idx="0">
                  <c:v>kg CO₂ ekv./år</c:v>
                </c:pt>
              </c:strCache>
            </c:strRef>
          </c:cat>
          <c:val>
            <c:numRef>
              <c:f>'Avløpsbehandling-Resultater'!$B$81</c:f>
              <c:numCache>
                <c:formatCode>#,##0</c:formatCode>
                <c:ptCount val="1"/>
                <c:pt idx="0">
                  <c:v>0</c:v>
                </c:pt>
              </c:numCache>
            </c:numRef>
          </c:val>
          <c:extLst>
            <c:ext xmlns:c16="http://schemas.microsoft.com/office/drawing/2014/chart" uri="{C3380CC4-5D6E-409C-BE32-E72D297353CC}">
              <c16:uniqueId val="{00000009-9548-4376-A124-41604B5C5CBF}"/>
            </c:ext>
          </c:extLst>
        </c:ser>
        <c:ser>
          <c:idx val="10"/>
          <c:order val="10"/>
          <c:tx>
            <c:strRef>
              <c:f>'Avløpsbehandling-Resultater'!$A$82</c:f>
              <c:strCache>
                <c:ptCount val="1"/>
                <c:pt idx="0">
                  <c:v>Klor, flytende</c:v>
                </c:pt>
              </c:strCache>
            </c:strRef>
          </c:tx>
          <c:spPr>
            <a:solidFill>
              <a:schemeClr val="accent5">
                <a:lumMod val="60000"/>
              </a:schemeClr>
            </a:solidFill>
            <a:ln>
              <a:noFill/>
            </a:ln>
            <a:effectLst/>
          </c:spPr>
          <c:invertIfNegative val="0"/>
          <c:cat>
            <c:strRef>
              <c:f>'Avløpsbehandling-Resultater'!$B$71</c:f>
              <c:strCache>
                <c:ptCount val="1"/>
                <c:pt idx="0">
                  <c:v>kg CO₂ ekv./år</c:v>
                </c:pt>
              </c:strCache>
            </c:strRef>
          </c:cat>
          <c:val>
            <c:numRef>
              <c:f>'Avløpsbehandling-Resultater'!$B$82</c:f>
              <c:numCache>
                <c:formatCode>#,##0</c:formatCode>
                <c:ptCount val="1"/>
                <c:pt idx="0">
                  <c:v>0</c:v>
                </c:pt>
              </c:numCache>
            </c:numRef>
          </c:val>
          <c:extLst>
            <c:ext xmlns:c16="http://schemas.microsoft.com/office/drawing/2014/chart" uri="{C3380CC4-5D6E-409C-BE32-E72D297353CC}">
              <c16:uniqueId val="{0000000A-9548-4376-A124-41604B5C5CBF}"/>
            </c:ext>
          </c:extLst>
        </c:ser>
        <c:ser>
          <c:idx val="11"/>
          <c:order val="11"/>
          <c:tx>
            <c:strRef>
              <c:f>'Avløpsbehandling-Resultater'!$A$83</c:f>
              <c:strCache>
                <c:ptCount val="1"/>
                <c:pt idx="0">
                  <c:v>Klorgass</c:v>
                </c:pt>
              </c:strCache>
            </c:strRef>
          </c:tx>
          <c:spPr>
            <a:solidFill>
              <a:schemeClr val="accent6">
                <a:lumMod val="60000"/>
              </a:schemeClr>
            </a:solidFill>
            <a:ln>
              <a:noFill/>
            </a:ln>
            <a:effectLst/>
          </c:spPr>
          <c:invertIfNegative val="0"/>
          <c:cat>
            <c:strRef>
              <c:f>'Avløpsbehandling-Resultater'!$B$71</c:f>
              <c:strCache>
                <c:ptCount val="1"/>
                <c:pt idx="0">
                  <c:v>kg CO₂ ekv./år</c:v>
                </c:pt>
              </c:strCache>
            </c:strRef>
          </c:cat>
          <c:val>
            <c:numRef>
              <c:f>'Avløpsbehandling-Resultater'!$B$83</c:f>
              <c:numCache>
                <c:formatCode>#,##0</c:formatCode>
                <c:ptCount val="1"/>
                <c:pt idx="0">
                  <c:v>0</c:v>
                </c:pt>
              </c:numCache>
            </c:numRef>
          </c:val>
          <c:extLst>
            <c:ext xmlns:c16="http://schemas.microsoft.com/office/drawing/2014/chart" uri="{C3380CC4-5D6E-409C-BE32-E72D297353CC}">
              <c16:uniqueId val="{0000000B-9548-4376-A124-41604B5C5CBF}"/>
            </c:ext>
          </c:extLst>
        </c:ser>
        <c:ser>
          <c:idx val="12"/>
          <c:order val="12"/>
          <c:tx>
            <c:strRef>
              <c:f>'Avløpsbehandling-Resultater'!$A$84</c:f>
              <c:strCache>
                <c:ptCount val="1"/>
                <c:pt idx="0">
                  <c:v>Litiumklorid</c:v>
                </c:pt>
              </c:strCache>
            </c:strRef>
          </c:tx>
          <c:spPr>
            <a:solidFill>
              <a:schemeClr val="accent1">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'Avløpsbehandling-Resultater'!$B$84</c:f>
              <c:numCache>
                <c:formatCode>#,##0</c:formatCode>
                <c:ptCount val="1"/>
                <c:pt idx="0">
                  <c:v>0</c:v>
                </c:pt>
              </c:numCache>
            </c:numRef>
          </c:val>
          <c:extLst>
            <c:ext xmlns:c16="http://schemas.microsoft.com/office/drawing/2014/chart" uri="{C3380CC4-5D6E-409C-BE32-E72D297353CC}">
              <c16:uniqueId val="{0000000C-9548-4376-A124-41604B5C5CBF}"/>
            </c:ext>
          </c:extLst>
        </c:ser>
        <c:ser>
          <c:idx val="13"/>
          <c:order val="13"/>
          <c:tx>
            <c:strRef>
              <c:f>'Avløpsbehandling-Resultater'!$A$85</c:f>
              <c:strCache>
                <c:ptCount val="1"/>
                <c:pt idx="0">
                  <c:v>Magnesiumklorid</c:v>
                </c:pt>
              </c:strCache>
            </c:strRef>
          </c:tx>
          <c:spPr>
            <a:solidFill>
              <a:schemeClr val="accent2">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'Avløpsbehandling-Resultater'!$B$85</c:f>
              <c:numCache>
                <c:formatCode>#,##0</c:formatCode>
                <c:ptCount val="1"/>
                <c:pt idx="0">
                  <c:v>0</c:v>
                </c:pt>
              </c:numCache>
            </c:numRef>
          </c:val>
          <c:extLst>
            <c:ext xmlns:c16="http://schemas.microsoft.com/office/drawing/2014/chart" uri="{C3380CC4-5D6E-409C-BE32-E72D297353CC}">
              <c16:uniqueId val="{0000000D-9548-4376-A124-41604B5C5CBF}"/>
            </c:ext>
          </c:extLst>
        </c:ser>
        <c:ser>
          <c:idx val="14"/>
          <c:order val="14"/>
          <c:tx>
            <c:strRef>
              <c:f>'Avløpsbehandling-Resultater'!$A$86</c:f>
              <c:strCache>
                <c:ptCount val="1"/>
                <c:pt idx="0">
                  <c:v>Natriumhypokloritt (NaClO)</c:v>
                </c:pt>
              </c:strCache>
            </c:strRef>
          </c:tx>
          <c:spPr>
            <a:solidFill>
              <a:schemeClr val="accent3">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'Avløpsbehandling-Resultater'!$B$86</c:f>
              <c:numCache>
                <c:formatCode>#,##0</c:formatCode>
                <c:ptCount val="1"/>
                <c:pt idx="0">
                  <c:v>0</c:v>
                </c:pt>
              </c:numCache>
            </c:numRef>
          </c:val>
          <c:extLst>
            <c:ext xmlns:c16="http://schemas.microsoft.com/office/drawing/2014/chart" uri="{C3380CC4-5D6E-409C-BE32-E72D297353CC}">
              <c16:uniqueId val="{00000000-FE79-4798-A38B-E42CE0AFCD45}"/>
            </c:ext>
          </c:extLst>
        </c:ser>
        <c:ser>
          <c:idx val="15"/>
          <c:order val="15"/>
          <c:tx>
            <c:strRef>
              <c:f>'Avløpsbehandling-Resultater'!$A$87</c:f>
              <c:strCache>
                <c:ptCount val="1"/>
                <c:pt idx="0">
                  <c:v>Natriumthiosulfat</c:v>
                </c:pt>
              </c:strCache>
            </c:strRef>
          </c:tx>
          <c:spPr>
            <a:solidFill>
              <a:schemeClr val="accent4">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'Avløpsbehandling-Resultater'!$B$87</c:f>
              <c:numCache>
                <c:formatCode>#,##0</c:formatCode>
                <c:ptCount val="1"/>
                <c:pt idx="0">
                  <c:v>0</c:v>
                </c:pt>
              </c:numCache>
            </c:numRef>
          </c:val>
          <c:extLst>
            <c:ext xmlns:c16="http://schemas.microsoft.com/office/drawing/2014/chart" uri="{C3380CC4-5D6E-409C-BE32-E72D297353CC}">
              <c16:uniqueId val="{00000000-2B91-4948-BA6F-374E5CC5B37B}"/>
            </c:ext>
          </c:extLst>
        </c:ser>
        <c:ser>
          <c:idx val="16"/>
          <c:order val="16"/>
          <c:tx>
            <c:strRef>
              <c:f>'Avløpsbehandling-Resultater'!$A$88</c:f>
              <c:strCache>
                <c:ptCount val="1"/>
                <c:pt idx="0">
                  <c:v>Oktanol </c:v>
                </c:pt>
              </c:strCache>
            </c:strRef>
          </c:tx>
          <c:spPr>
            <a:solidFill>
              <a:schemeClr val="accent5">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'Avløpsbehandling-Resultater'!$B$88</c:f>
              <c:numCache>
                <c:formatCode>#,##0</c:formatCode>
                <c:ptCount val="1"/>
                <c:pt idx="0">
                  <c:v>0</c:v>
                </c:pt>
              </c:numCache>
            </c:numRef>
          </c:val>
          <c:extLst>
            <c:ext xmlns:c16="http://schemas.microsoft.com/office/drawing/2014/chart" uri="{C3380CC4-5D6E-409C-BE32-E72D297353CC}">
              <c16:uniqueId val="{00000001-2B91-4948-BA6F-374E5CC5B37B}"/>
            </c:ext>
          </c:extLst>
        </c:ser>
        <c:ser>
          <c:idx val="17"/>
          <c:order val="17"/>
          <c:tx>
            <c:strRef>
              <c:f>'Avløpsbehandling-Resultater'!$A$89</c:f>
              <c:strCache>
                <c:ptCount val="1"/>
                <c:pt idx="0">
                  <c:v>Propan</c:v>
                </c:pt>
              </c:strCache>
            </c:strRef>
          </c:tx>
          <c:spPr>
            <a:solidFill>
              <a:schemeClr val="accent6">
                <a:lumMod val="80000"/>
                <a:lumOff val="20000"/>
              </a:schemeClr>
            </a:solidFill>
            <a:ln>
              <a:noFill/>
            </a:ln>
            <a:effectLst/>
          </c:spPr>
          <c:invertIfNegative val="0"/>
          <c:cat>
            <c:strRef>
              <c:f>'Avløpsbehandling-Resultater'!$B$71</c:f>
              <c:strCache>
                <c:ptCount val="1"/>
                <c:pt idx="0">
                  <c:v>kg CO₂ ekv./år</c:v>
                </c:pt>
              </c:strCache>
            </c:strRef>
          </c:cat>
          <c:val>
            <c:numRef>
              <c:f>'Avløpsbehandling-Resultater'!$B$89</c:f>
              <c:numCache>
                <c:formatCode>#,##0</c:formatCode>
                <c:ptCount val="1"/>
                <c:pt idx="0">
                  <c:v>0</c:v>
                </c:pt>
              </c:numCache>
            </c:numRef>
          </c:val>
          <c:extLst>
            <c:ext xmlns:c16="http://schemas.microsoft.com/office/drawing/2014/chart" uri="{C3380CC4-5D6E-409C-BE32-E72D297353CC}">
              <c16:uniqueId val="{00000000-1C87-41BE-859B-22C0B942D5E0}"/>
            </c:ext>
          </c:extLst>
        </c:ser>
        <c:ser>
          <c:idx val="18"/>
          <c:order val="18"/>
          <c:tx>
            <c:strRef>
              <c:f>'Avløpsbehandling-Resultater'!$A$90</c:f>
              <c:strCache>
                <c:ptCount val="1"/>
                <c:pt idx="0">
                  <c:v>Salpetersyre (HNO3)</c:v>
                </c:pt>
              </c:strCache>
            </c:strRef>
          </c:tx>
          <c:spPr>
            <a:solidFill>
              <a:schemeClr val="accent1">
                <a:lumMod val="80000"/>
              </a:schemeClr>
            </a:solidFill>
            <a:ln>
              <a:noFill/>
            </a:ln>
            <a:effectLst/>
          </c:spPr>
          <c:invertIfNegative val="0"/>
          <c:cat>
            <c:strRef>
              <c:f>'Avløpsbehandling-Resultater'!$B$71</c:f>
              <c:strCache>
                <c:ptCount val="1"/>
                <c:pt idx="0">
                  <c:v>kg CO₂ ekv./år</c:v>
                </c:pt>
              </c:strCache>
            </c:strRef>
          </c:cat>
          <c:val>
            <c:numRef>
              <c:f>'Avløpsbehandling-Resultater'!$B$90</c:f>
              <c:numCache>
                <c:formatCode>#,##0</c:formatCode>
                <c:ptCount val="1"/>
                <c:pt idx="0">
                  <c:v>0</c:v>
                </c:pt>
              </c:numCache>
            </c:numRef>
          </c:val>
          <c:extLst>
            <c:ext xmlns:c16="http://schemas.microsoft.com/office/drawing/2014/chart" uri="{C3380CC4-5D6E-409C-BE32-E72D297353CC}">
              <c16:uniqueId val="{00000000-22CE-40C9-B53F-862FF2AA0E64}"/>
            </c:ext>
          </c:extLst>
        </c:ser>
        <c:ser>
          <c:idx val="19"/>
          <c:order val="19"/>
          <c:tx>
            <c:strRef>
              <c:f>'Avløpsbehandling-Resultater'!$A$91</c:f>
              <c:strCache>
                <c:ptCount val="1"/>
                <c:pt idx="0">
                  <c:v>Saltsyre (HCl)</c:v>
                </c:pt>
              </c:strCache>
            </c:strRef>
          </c:tx>
          <c:spPr>
            <a:solidFill>
              <a:schemeClr val="accent2">
                <a:lumMod val="80000"/>
              </a:schemeClr>
            </a:solidFill>
            <a:ln>
              <a:noFill/>
            </a:ln>
            <a:effectLst/>
          </c:spPr>
          <c:invertIfNegative val="0"/>
          <c:cat>
            <c:strRef>
              <c:f>'Avløpsbehandling-Resultater'!$B$71</c:f>
              <c:strCache>
                <c:ptCount val="1"/>
                <c:pt idx="0">
                  <c:v>kg CO₂ ekv./år</c:v>
                </c:pt>
              </c:strCache>
            </c:strRef>
          </c:cat>
          <c:val>
            <c:numRef>
              <c:f>'Avløpsbehandling-Resultater'!$B$91</c:f>
              <c:numCache>
                <c:formatCode>#,##0</c:formatCode>
                <c:ptCount val="1"/>
                <c:pt idx="0">
                  <c:v>0</c:v>
                </c:pt>
              </c:numCache>
            </c:numRef>
          </c:val>
          <c:extLst>
            <c:ext xmlns:c16="http://schemas.microsoft.com/office/drawing/2014/chart" uri="{C3380CC4-5D6E-409C-BE32-E72D297353CC}">
              <c16:uniqueId val="{00000001-C228-47C4-9286-7EE05C93CBAA}"/>
            </c:ext>
          </c:extLst>
        </c:ser>
        <c:ser>
          <c:idx val="20"/>
          <c:order val="20"/>
          <c:tx>
            <c:strRef>
              <c:f>'Avløpsbehandling-Resultater'!$A$92</c:f>
              <c:strCache>
                <c:ptCount val="1"/>
                <c:pt idx="0">
                  <c:v>Svovelsyre (H2SO4)</c:v>
                </c:pt>
              </c:strCache>
            </c:strRef>
          </c:tx>
          <c:spPr>
            <a:solidFill>
              <a:schemeClr val="accent3">
                <a:lumMod val="80000"/>
              </a:schemeClr>
            </a:solidFill>
            <a:ln>
              <a:noFill/>
            </a:ln>
            <a:effectLst/>
          </c:spPr>
          <c:invertIfNegative val="0"/>
          <c:cat>
            <c:strRef>
              <c:f>'Avløpsbehandling-Resultater'!$B$71</c:f>
              <c:strCache>
                <c:ptCount val="1"/>
                <c:pt idx="0">
                  <c:v>kg CO₂ ekv./år</c:v>
                </c:pt>
              </c:strCache>
            </c:strRef>
          </c:cat>
          <c:val>
            <c:numRef>
              <c:f>'Avløpsbehandling-Resultater'!$B$92</c:f>
              <c:numCache>
                <c:formatCode>#,##0</c:formatCode>
                <c:ptCount val="1"/>
                <c:pt idx="0">
                  <c:v>0</c:v>
                </c:pt>
              </c:numCache>
            </c:numRef>
          </c:val>
          <c:extLst>
            <c:ext xmlns:c16="http://schemas.microsoft.com/office/drawing/2014/chart" uri="{C3380CC4-5D6E-409C-BE32-E72D297353CC}">
              <c16:uniqueId val="{00000002-C228-47C4-9286-7EE05C93CBAA}"/>
            </c:ext>
          </c:extLst>
        </c:ser>
        <c:ser>
          <c:idx val="21"/>
          <c:order val="21"/>
          <c:tx>
            <c:strRef>
              <c:f>'Avløpsbehandling-Resultater'!$A$93</c:f>
              <c:strCache>
                <c:ptCount val="1"/>
                <c:pt idx="0">
                  <c:v>Vannglass (Natriumsilikat)</c:v>
                </c:pt>
              </c:strCache>
            </c:strRef>
          </c:tx>
          <c:spPr>
            <a:solidFill>
              <a:schemeClr val="accent4">
                <a:lumMod val="80000"/>
              </a:schemeClr>
            </a:solidFill>
            <a:ln>
              <a:noFill/>
            </a:ln>
            <a:effectLst/>
          </c:spPr>
          <c:invertIfNegative val="0"/>
          <c:cat>
            <c:strRef>
              <c:f>'Avløpsbehandling-Resultater'!$B$71</c:f>
              <c:strCache>
                <c:ptCount val="1"/>
                <c:pt idx="0">
                  <c:v>kg CO₂ ekv./år</c:v>
                </c:pt>
              </c:strCache>
            </c:strRef>
          </c:cat>
          <c:val>
            <c:numRef>
              <c:f>'Avløpsbehandling-Resultater'!$B$93</c:f>
              <c:numCache>
                <c:formatCode>#,##0</c:formatCode>
                <c:ptCount val="1"/>
                <c:pt idx="0">
                  <c:v>0</c:v>
                </c:pt>
              </c:numCache>
            </c:numRef>
          </c:val>
          <c:extLst>
            <c:ext xmlns:c16="http://schemas.microsoft.com/office/drawing/2014/chart" uri="{C3380CC4-5D6E-409C-BE32-E72D297353CC}">
              <c16:uniqueId val="{00000001-D214-4DD4-A156-7EA785D5B0A6}"/>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63081954327902"/>
          <c:y val="0.10101010101010101"/>
          <c:w val="0.73578700389724017"/>
          <c:h val="0.47750952618525988"/>
        </c:manualLayout>
      </c:layout>
      <c:barChart>
        <c:barDir val="bar"/>
        <c:grouping val="percentStacked"/>
        <c:varyColors val="0"/>
        <c:ser>
          <c:idx val="0"/>
          <c:order val="0"/>
          <c:tx>
            <c:strRef>
              <c:f>'Avløpsbehandling-Resultater'!$A$107</c:f>
              <c:strCache>
                <c:ptCount val="1"/>
                <c:pt idx="0">
                  <c:v>Transport</c:v>
                </c:pt>
              </c:strCache>
            </c:strRef>
          </c:tx>
          <c:spPr>
            <a:solidFill>
              <a:schemeClr val="accent1"/>
            </a:solidFill>
            <a:ln>
              <a:noFill/>
            </a:ln>
            <a:effectLst/>
          </c:spPr>
          <c:invertIfNegative val="0"/>
          <c:cat>
            <c:strRef>
              <c:f>'Avløpsbehandling-Resultater'!$B$107</c:f>
              <c:strCache>
                <c:ptCount val="1"/>
                <c:pt idx="0">
                  <c:v>kg CO₂ ekv./år</c:v>
                </c:pt>
              </c:strCache>
            </c:strRef>
          </c:cat>
          <c:val>
            <c:numRef>
              <c:f>'Avløpsbehandling-Resultater'!$B$107</c:f>
              <c:numCache>
                <c:formatCode>General</c:formatCode>
                <c:ptCount val="1"/>
                <c:pt idx="0">
                  <c:v>0</c:v>
                </c:pt>
              </c:numCache>
            </c:numRef>
          </c:val>
          <c:extLst>
            <c:ext xmlns:c16="http://schemas.microsoft.com/office/drawing/2014/chart" uri="{C3380CC4-5D6E-409C-BE32-E72D297353CC}">
              <c16:uniqueId val="{00000000-01E4-471F-948D-B3BB1593EF2B}"/>
            </c:ext>
          </c:extLst>
        </c:ser>
        <c:ser>
          <c:idx val="1"/>
          <c:order val="1"/>
          <c:tx>
            <c:strRef>
              <c:f>'Avløpsbehandling-Resultater'!$A$108</c:f>
              <c:strCache>
                <c:ptCount val="1"/>
                <c:pt idx="0">
                  <c:v>Filtermasser</c:v>
                </c:pt>
              </c:strCache>
            </c:strRef>
          </c:tx>
          <c:spPr>
            <a:solidFill>
              <a:schemeClr val="accent2"/>
            </a:solidFill>
            <a:ln>
              <a:noFill/>
            </a:ln>
            <a:effectLst/>
          </c:spPr>
          <c:invertIfNegative val="0"/>
          <c:cat>
            <c:strRef>
              <c:f>'Avløpsbehandling-Resultater'!$B$107</c:f>
              <c:strCache>
                <c:ptCount val="1"/>
                <c:pt idx="0">
                  <c:v>kg CO₂ ekv./år</c:v>
                </c:pt>
              </c:strCache>
            </c:strRef>
          </c:cat>
          <c:val>
            <c:numRef>
              <c:f>'Avløpsbehandling-Resultater'!$B$108</c:f>
              <c:numCache>
                <c:formatCode>#,##0</c:formatCode>
                <c:ptCount val="1"/>
                <c:pt idx="0">
                  <c:v>0</c:v>
                </c:pt>
              </c:numCache>
            </c:numRef>
          </c:val>
          <c:extLst>
            <c:ext xmlns:c16="http://schemas.microsoft.com/office/drawing/2014/chart" uri="{C3380CC4-5D6E-409C-BE32-E72D297353CC}">
              <c16:uniqueId val="{00000001-01E4-471F-948D-B3BB1593EF2B}"/>
            </c:ext>
          </c:extLst>
        </c:ser>
        <c:ser>
          <c:idx val="2"/>
          <c:order val="2"/>
          <c:tx>
            <c:strRef>
              <c:f>'Avløpsbehandling-Resultater'!$A$109</c:f>
              <c:strCache>
                <c:ptCount val="1"/>
                <c:pt idx="0">
                  <c:v>Kjemikalier - felling</c:v>
                </c:pt>
              </c:strCache>
            </c:strRef>
          </c:tx>
          <c:spPr>
            <a:solidFill>
              <a:schemeClr val="accent3"/>
            </a:solidFill>
            <a:ln>
              <a:noFill/>
            </a:ln>
            <a:effectLst/>
          </c:spPr>
          <c:invertIfNegative val="0"/>
          <c:cat>
            <c:strRef>
              <c:f>'Avløpsbehandling-Resultater'!$B$107</c:f>
              <c:strCache>
                <c:ptCount val="1"/>
                <c:pt idx="0">
                  <c:v>kg CO₂ ekv./år</c:v>
                </c:pt>
              </c:strCache>
            </c:strRef>
          </c:cat>
          <c:val>
            <c:numRef>
              <c:f>'Avløpsbehandling-Resultater'!$B$109</c:f>
              <c:numCache>
                <c:formatCode>#,##0</c:formatCode>
                <c:ptCount val="1"/>
                <c:pt idx="0">
                  <c:v>0</c:v>
                </c:pt>
              </c:numCache>
            </c:numRef>
          </c:val>
          <c:extLst>
            <c:ext xmlns:c16="http://schemas.microsoft.com/office/drawing/2014/chart" uri="{C3380CC4-5D6E-409C-BE32-E72D297353CC}">
              <c16:uniqueId val="{00000002-01E4-471F-948D-B3BB1593EF2B}"/>
            </c:ext>
          </c:extLst>
        </c:ser>
        <c:ser>
          <c:idx val="3"/>
          <c:order val="3"/>
          <c:tx>
            <c:strRef>
              <c:f>'Avløpsbehandling-Resultater'!$A$110</c:f>
              <c:strCache>
                <c:ptCount val="1"/>
                <c:pt idx="0">
                  <c:v>Karbonkilder</c:v>
                </c:pt>
              </c:strCache>
            </c:strRef>
          </c:tx>
          <c:spPr>
            <a:solidFill>
              <a:schemeClr val="accent4"/>
            </a:solidFill>
            <a:ln>
              <a:noFill/>
            </a:ln>
            <a:effectLst/>
          </c:spPr>
          <c:invertIfNegative val="0"/>
          <c:cat>
            <c:strRef>
              <c:f>'Avløpsbehandling-Resultater'!$B$107</c:f>
              <c:strCache>
                <c:ptCount val="1"/>
                <c:pt idx="0">
                  <c:v>kg CO₂ ekv./år</c:v>
                </c:pt>
              </c:strCache>
            </c:strRef>
          </c:cat>
          <c:val>
            <c:numRef>
              <c:f>'Avløpsbehandling-Resultater'!$B$110</c:f>
              <c:numCache>
                <c:formatCode>#,##0</c:formatCode>
                <c:ptCount val="1"/>
                <c:pt idx="0">
                  <c:v>0</c:v>
                </c:pt>
              </c:numCache>
            </c:numRef>
          </c:val>
          <c:extLst>
            <c:ext xmlns:c16="http://schemas.microsoft.com/office/drawing/2014/chart" uri="{C3380CC4-5D6E-409C-BE32-E72D297353CC}">
              <c16:uniqueId val="{00000003-01E4-471F-948D-B3BB1593EF2B}"/>
            </c:ext>
          </c:extLst>
        </c:ser>
        <c:ser>
          <c:idx val="4"/>
          <c:order val="4"/>
          <c:tx>
            <c:strRef>
              <c:f>'Avløpsbehandling-Resultater'!$A$111</c:f>
              <c:strCache>
                <c:ptCount val="1"/>
                <c:pt idx="0">
                  <c:v>Kjemikalier – pH-justering/korrosjonskontroll</c:v>
                </c:pt>
              </c:strCache>
            </c:strRef>
          </c:tx>
          <c:spPr>
            <a:solidFill>
              <a:schemeClr val="accent5"/>
            </a:solidFill>
            <a:ln>
              <a:noFill/>
            </a:ln>
            <a:effectLst/>
          </c:spPr>
          <c:invertIfNegative val="0"/>
          <c:cat>
            <c:strRef>
              <c:f>'Avløpsbehandling-Resultater'!$B$107</c:f>
              <c:strCache>
                <c:ptCount val="1"/>
                <c:pt idx="0">
                  <c:v>kg CO₂ ekv./år</c:v>
                </c:pt>
              </c:strCache>
            </c:strRef>
          </c:cat>
          <c:val>
            <c:numRef>
              <c:f>'Avløpsbehandling-Resultater'!$B$111</c:f>
              <c:numCache>
                <c:formatCode>#,##0</c:formatCode>
                <c:ptCount val="1"/>
                <c:pt idx="0">
                  <c:v>0</c:v>
                </c:pt>
              </c:numCache>
            </c:numRef>
          </c:val>
          <c:extLst>
            <c:ext xmlns:c16="http://schemas.microsoft.com/office/drawing/2014/chart" uri="{C3380CC4-5D6E-409C-BE32-E72D297353CC}">
              <c16:uniqueId val="{00000004-01E4-471F-948D-B3BB1593EF2B}"/>
            </c:ext>
          </c:extLst>
        </c:ser>
        <c:ser>
          <c:idx val="5"/>
          <c:order val="5"/>
          <c:tx>
            <c:strRef>
              <c:f>'Avløpsbehandling-Resultater'!$A$112</c:f>
              <c:strCache>
                <c:ptCount val="1"/>
                <c:pt idx="0">
                  <c:v>Andre kjemikalier</c:v>
                </c:pt>
              </c:strCache>
            </c:strRef>
          </c:tx>
          <c:spPr>
            <a:solidFill>
              <a:schemeClr val="accent6"/>
            </a:solidFill>
            <a:ln>
              <a:noFill/>
            </a:ln>
            <a:effectLst/>
          </c:spPr>
          <c:invertIfNegative val="0"/>
          <c:cat>
            <c:strRef>
              <c:f>'Avløpsbehandling-Resultater'!$B$107</c:f>
              <c:strCache>
                <c:ptCount val="1"/>
                <c:pt idx="0">
                  <c:v>kg CO₂ ekv./år</c:v>
                </c:pt>
              </c:strCache>
            </c:strRef>
          </c:cat>
          <c:val>
            <c:numRef>
              <c:f>'Avløpsbehandling-Resultater'!$B$112</c:f>
              <c:numCache>
                <c:formatCode>#,##0</c:formatCode>
                <c:ptCount val="1"/>
                <c:pt idx="0">
                  <c:v>0</c:v>
                </c:pt>
              </c:numCache>
            </c:numRef>
          </c:val>
          <c:extLst>
            <c:ext xmlns:c16="http://schemas.microsoft.com/office/drawing/2014/chart" uri="{C3380CC4-5D6E-409C-BE32-E72D297353CC}">
              <c16:uniqueId val="{00000005-01E4-471F-948D-B3BB1593EF2B}"/>
            </c:ext>
          </c:extLst>
        </c:ser>
        <c:ser>
          <c:idx val="6"/>
          <c:order val="6"/>
          <c:tx>
            <c:strRef>
              <c:f>'Avløpsbehandling-Resultater'!$A$114</c:f>
              <c:strCache>
                <c:ptCount val="1"/>
                <c:pt idx="0">
                  <c:v>Slam, ristgods og masser</c:v>
                </c:pt>
              </c:strCache>
            </c:strRef>
          </c:tx>
          <c:spPr>
            <a:solidFill>
              <a:schemeClr val="accent1">
                <a:lumMod val="60000"/>
              </a:schemeClr>
            </a:solidFill>
            <a:ln>
              <a:noFill/>
            </a:ln>
            <a:effectLst/>
          </c:spPr>
          <c:invertIfNegative val="0"/>
          <c:cat>
            <c:strRef>
              <c:f>'Avløpsbehandling-Resultater'!$B$107</c:f>
              <c:strCache>
                <c:ptCount val="1"/>
                <c:pt idx="0">
                  <c:v>kg CO₂ ekv./år</c:v>
                </c:pt>
              </c:strCache>
            </c:strRef>
          </c:cat>
          <c:val>
            <c:numRef>
              <c:f>'Avløpsbehandling-Resultater'!$B$114</c:f>
              <c:numCache>
                <c:formatCode>#,##0</c:formatCode>
                <c:ptCount val="1"/>
                <c:pt idx="0">
                  <c:v>0</c:v>
                </c:pt>
              </c:numCache>
            </c:numRef>
          </c:val>
          <c:extLst>
            <c:ext xmlns:c16="http://schemas.microsoft.com/office/drawing/2014/chart" uri="{C3380CC4-5D6E-409C-BE32-E72D297353CC}">
              <c16:uniqueId val="{00000006-01E4-471F-948D-B3BB1593EF2B}"/>
            </c:ext>
          </c:extLst>
        </c:ser>
        <c:ser>
          <c:idx val="7"/>
          <c:order val="7"/>
          <c:tx>
            <c:v>Egendefinerte forbruksvarer</c:v>
          </c:tx>
          <c:spPr>
            <a:solidFill>
              <a:schemeClr val="accent2">
                <a:lumMod val="60000"/>
              </a:schemeClr>
            </a:solidFill>
            <a:ln>
              <a:noFill/>
            </a:ln>
            <a:effectLst/>
          </c:spPr>
          <c:invertIfNegative val="0"/>
          <c:val>
            <c:numRef>
              <c:f>'Avløpsbehandling-Resultater'!$B$113</c:f>
              <c:numCache>
                <c:formatCode>#,##0</c:formatCode>
                <c:ptCount val="1"/>
                <c:pt idx="0">
                  <c:v>0</c:v>
                </c:pt>
              </c:numCache>
            </c:numRef>
          </c:val>
          <c:extLst>
            <c:ext xmlns:c16="http://schemas.microsoft.com/office/drawing/2014/chart" uri="{C3380CC4-5D6E-409C-BE32-E72D297353CC}">
              <c16:uniqueId val="{00000001-D3AA-4BFF-BFA1-2E57427DC8C0}"/>
            </c:ext>
          </c:extLst>
        </c:ser>
        <c:dLbls>
          <c:showLegendKey val="0"/>
          <c:showVal val="0"/>
          <c:showCatName val="0"/>
          <c:showSerName val="0"/>
          <c:showPercent val="0"/>
          <c:showBubbleSize val="0"/>
        </c:dLbls>
        <c:gapWidth val="150"/>
        <c:overlap val="100"/>
        <c:axId val="915578736"/>
        <c:axId val="915583984"/>
      </c:barChart>
      <c:catAx>
        <c:axId val="915578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984"/>
        <c:crosses val="autoZero"/>
        <c:auto val="1"/>
        <c:lblAlgn val="ctr"/>
        <c:lblOffset val="100"/>
        <c:noMultiLvlLbl val="0"/>
      </c:catAx>
      <c:valAx>
        <c:axId val="9155839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78736"/>
        <c:crosses val="autoZero"/>
        <c:crossBetween val="between"/>
      </c:valAx>
      <c:spPr>
        <a:solidFill>
          <a:schemeClr val="bg2"/>
        </a:solidFill>
        <a:ln>
          <a:noFill/>
        </a:ln>
        <a:effectLst/>
      </c:spPr>
    </c:plotArea>
    <c:legend>
      <c:legendPos val="b"/>
      <c:legendEntry>
        <c:idx val="0"/>
        <c:delete val="1"/>
      </c:legendEntry>
      <c:layout>
        <c:manualLayout>
          <c:xMode val="edge"/>
          <c:yMode val="edge"/>
          <c:x val="9.2930691355888172E-3"/>
          <c:y val="0.68398464722953223"/>
          <c:w val="0.97185982666993131"/>
          <c:h val="0.31601564510318564"/>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Scope-fordeling</a:t>
            </a:r>
          </a:p>
        </c:rich>
      </c:tx>
      <c:layout>
        <c:manualLayout>
          <c:xMode val="edge"/>
          <c:yMode val="edge"/>
          <c:x val="0.34888617443106007"/>
          <c:y val="1.438848920863309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25422008406467089"/>
          <c:y val="0.17814082592193958"/>
          <c:w val="0.49442780272990944"/>
          <c:h val="0.74519873864687791"/>
        </c:manualLayout>
      </c:layout>
      <c:pieChart>
        <c:varyColors val="1"/>
        <c:ser>
          <c:idx val="0"/>
          <c:order val="0"/>
          <c:tx>
            <c:strRef>
              <c:f>'Sammendrag klimaregnskap'!$B$19</c:f>
              <c:strCache>
                <c:ptCount val="1"/>
                <c:pt idx="0">
                  <c:v>Sum vann
og avløp</c:v>
                </c:pt>
              </c:strCache>
            </c:strRef>
          </c:tx>
          <c:dPt>
            <c:idx val="0"/>
            <c:bubble3D val="0"/>
            <c:spPr>
              <a:solidFill>
                <a:schemeClr val="accent1"/>
              </a:solidFill>
              <a:ln>
                <a:noFill/>
              </a:ln>
              <a:effectLst/>
            </c:spPr>
            <c:extLst>
              <c:ext xmlns:c16="http://schemas.microsoft.com/office/drawing/2014/chart" uri="{C3380CC4-5D6E-409C-BE32-E72D297353CC}">
                <c16:uniqueId val="{00000011-F6E0-4EF8-9903-48C49F3249D5}"/>
              </c:ext>
            </c:extLst>
          </c:dPt>
          <c:dPt>
            <c:idx val="1"/>
            <c:bubble3D val="0"/>
            <c:spPr>
              <a:solidFill>
                <a:schemeClr val="accent2"/>
              </a:solidFill>
              <a:ln>
                <a:noFill/>
              </a:ln>
              <a:effectLst/>
            </c:spPr>
            <c:extLst>
              <c:ext xmlns:c16="http://schemas.microsoft.com/office/drawing/2014/chart" uri="{C3380CC4-5D6E-409C-BE32-E72D297353CC}">
                <c16:uniqueId val="{00000013-F6E0-4EF8-9903-48C49F3249D5}"/>
              </c:ext>
            </c:extLst>
          </c:dPt>
          <c:dPt>
            <c:idx val="2"/>
            <c:bubble3D val="0"/>
            <c:spPr>
              <a:solidFill>
                <a:schemeClr val="accent3"/>
              </a:solidFill>
              <a:ln>
                <a:noFill/>
              </a:ln>
              <a:effectLst/>
            </c:spPr>
            <c:extLst>
              <c:ext xmlns:c16="http://schemas.microsoft.com/office/drawing/2014/chart" uri="{C3380CC4-5D6E-409C-BE32-E72D297353CC}">
                <c16:uniqueId val="{00000012-F6E0-4EF8-9903-48C49F3249D5}"/>
              </c:ext>
            </c:extLst>
          </c:dPt>
          <c:dLbls>
            <c:dLbl>
              <c:idx val="0"/>
              <c:layout>
                <c:manualLayout>
                  <c:x val="0.18138424821002375"/>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1-F6E0-4EF8-9903-48C49F3249D5}"/>
                </c:ext>
              </c:extLst>
            </c:dLbl>
            <c:dLbl>
              <c:idx val="1"/>
              <c:layout>
                <c:manualLayout>
                  <c:x val="3.5003977724741446E-2"/>
                  <c:y val="-2.8776978417266189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3-F6E0-4EF8-9903-48C49F3249D5}"/>
                </c:ext>
              </c:extLst>
            </c:dLbl>
            <c:dLbl>
              <c:idx val="2"/>
              <c:layout>
                <c:manualLayout>
                  <c:x val="-0.13683373110580749"/>
                  <c:y val="-1.4388489208633094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2-F6E0-4EF8-9903-48C49F3249D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b-NO"/>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'Sammendrag klimaregnskap'!$A$20:$A$22</c:f>
              <c:strCache>
                <c:ptCount val="3"/>
                <c:pt idx="0">
                  <c:v>Scope 1 </c:v>
                </c:pt>
                <c:pt idx="1">
                  <c:v>Scope 2</c:v>
                </c:pt>
                <c:pt idx="2">
                  <c:v>Scope 3</c:v>
                </c:pt>
              </c:strCache>
            </c:strRef>
          </c:cat>
          <c:val>
            <c:numRef>
              <c:f>'Sammendrag klimaregnskap'!$B$20:$B$22</c:f>
              <c:numCache>
                <c:formatCode>_(* #,##0_);_(* \(#,##0\);_(* "-"_);_(@_)</c:formatCode>
                <c:ptCount val="3"/>
                <c:pt idx="0">
                  <c:v>0</c:v>
                </c:pt>
                <c:pt idx="1">
                  <c:v>0</c:v>
                </c:pt>
                <c:pt idx="2">
                  <c:v>0</c:v>
                </c:pt>
              </c:numCache>
            </c:numRef>
          </c:val>
          <c:extLst>
            <c:ext xmlns:c16="http://schemas.microsoft.com/office/drawing/2014/chart" uri="{C3380CC4-5D6E-409C-BE32-E72D297353CC}">
              <c16:uniqueId val="{00000002-F6E0-4EF8-9903-48C49F3249D5}"/>
            </c:ext>
          </c:extLst>
        </c:ser>
        <c:dLbls>
          <c:dLblPos val="outEnd"/>
          <c:showLegendKey val="0"/>
          <c:showVal val="1"/>
          <c:showCatName val="0"/>
          <c:showSerName val="0"/>
          <c:showPercent val="0"/>
          <c:showBubbleSize val="0"/>
          <c:showLeaderLines val="1"/>
        </c:dLbls>
        <c:firstSliceAng val="0"/>
      </c:pieChart>
      <c:spPr>
        <a:solidFill>
          <a:schemeClr val="bg1">
            <a:lumMod val="95000"/>
            <a:alpha val="0"/>
          </a:schemeClr>
        </a:solidFill>
        <a:ln>
          <a:noFill/>
        </a:ln>
        <a:effectLst/>
      </c:spPr>
    </c:plotArea>
    <c:legend>
      <c:legendPos val="r"/>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accent1">
        <a:lumMod val="40000"/>
        <a:lumOff val="60000"/>
      </a:schemeClr>
    </a:solidFill>
    <a:ln w="9525" cap="flat" cmpd="sng" algn="ctr">
      <a:noFill/>
      <a:round/>
    </a:ln>
    <a:effectLst/>
  </c:spPr>
  <c:txPr>
    <a:bodyPr/>
    <a:lstStyle/>
    <a:p>
      <a:pPr>
        <a:defRPr/>
      </a:pPr>
      <a:endParaRPr lang="nb-NO"/>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649941567523037"/>
          <c:y val="7.8768349445041172E-2"/>
          <c:w val="0.78382239932903763"/>
          <c:h val="0.35500280510049026"/>
        </c:manualLayout>
      </c:layout>
      <c:barChart>
        <c:barDir val="bar"/>
        <c:grouping val="percentStacked"/>
        <c:varyColors val="0"/>
        <c:ser>
          <c:idx val="0"/>
          <c:order val="0"/>
          <c:tx>
            <c:strRef>
              <c:f>'Avløpsbehandling-Resultater'!$A$118</c:f>
              <c:strCache>
                <c:ptCount val="1"/>
                <c:pt idx="0">
                  <c:v>Nitrogenfjerning ved anlegget</c:v>
                </c:pt>
              </c:strCache>
            </c:strRef>
          </c:tx>
          <c:spPr>
            <a:solidFill>
              <a:schemeClr val="accent1"/>
            </a:solidFill>
            <a:ln>
              <a:noFill/>
            </a:ln>
            <a:effectLst/>
          </c:spPr>
          <c:invertIfNegative val="0"/>
          <c:cat>
            <c:strRef>
              <c:extLst>
                <c:ext xmlns:c15="http://schemas.microsoft.com/office/drawing/2012/chart" uri="{02D57815-91ED-43cb-92C2-25804820EDAC}">
                  <c15:fullRef>
                    <c15:sqref>'Avløpsbehandling-Resultater'!$B$117:$D$117</c15:sqref>
                  </c15:fullRef>
                </c:ext>
              </c:extLst>
              <c:f>'Avløpsbehandling-Resultater'!$D$117</c:f>
              <c:strCache>
                <c:ptCount val="1"/>
                <c:pt idx="0">
                  <c:v>kg CO₂ Ekv. </c:v>
                </c:pt>
              </c:strCache>
            </c:strRef>
          </c:cat>
          <c:val>
            <c:numRef>
              <c:extLst>
                <c:ext xmlns:c15="http://schemas.microsoft.com/office/drawing/2012/chart" uri="{02D57815-91ED-43cb-92C2-25804820EDAC}">
                  <c15:fullRef>
                    <c15:sqref>'Avløpsbehandling-Resultater'!$B$118:$D$118</c15:sqref>
                  </c15:fullRef>
                </c:ext>
              </c:extLst>
              <c:f>'Avløpsbehandling-Resultater'!$D$118</c:f>
              <c:numCache>
                <c:formatCode>#,##0</c:formatCode>
                <c:ptCount val="1"/>
                <c:pt idx="0">
                  <c:v>0</c:v>
                </c:pt>
              </c:numCache>
            </c:numRef>
          </c:val>
          <c:extLst>
            <c:ext xmlns:c16="http://schemas.microsoft.com/office/drawing/2014/chart" uri="{C3380CC4-5D6E-409C-BE32-E72D297353CC}">
              <c16:uniqueId val="{00000000-87D9-467E-9D4F-D9FD965C6454}"/>
            </c:ext>
          </c:extLst>
        </c:ser>
        <c:ser>
          <c:idx val="4"/>
          <c:order val="1"/>
          <c:tx>
            <c:strRef>
              <c:f>'Avløpsbehandling-Resultater'!$A$119</c:f>
              <c:strCache>
                <c:ptCount val="1"/>
                <c:pt idx="0">
                  <c:v>Biogassproduksjon</c:v>
                </c:pt>
              </c:strCache>
            </c:strRef>
          </c:tx>
          <c:spPr>
            <a:solidFill>
              <a:schemeClr val="accent5"/>
            </a:solidFill>
            <a:ln>
              <a:noFill/>
            </a:ln>
            <a:effectLst/>
          </c:spPr>
          <c:invertIfNegative val="0"/>
          <c:cat>
            <c:strRef>
              <c:extLst>
                <c:ext xmlns:c15="http://schemas.microsoft.com/office/drawing/2012/chart" uri="{02D57815-91ED-43cb-92C2-25804820EDAC}">
                  <c15:fullRef>
                    <c15:sqref>'Avløpsbehandling-Resultater'!$B$117:$D$117</c15:sqref>
                  </c15:fullRef>
                </c:ext>
              </c:extLst>
              <c:f>'Avløpsbehandling-Resultater'!$D$117</c:f>
              <c:strCache>
                <c:ptCount val="1"/>
                <c:pt idx="0">
                  <c:v>kg CO₂ Ekv. </c:v>
                </c:pt>
              </c:strCache>
            </c:strRef>
          </c:cat>
          <c:val>
            <c:numRef>
              <c:extLst>
                <c:ext xmlns:c15="http://schemas.microsoft.com/office/drawing/2012/chart" uri="{02D57815-91ED-43cb-92C2-25804820EDAC}">
                  <c15:fullRef>
                    <c15:sqref>'Avløpsbehandling-Resultater'!$B$119:$D$119</c15:sqref>
                  </c15:fullRef>
                </c:ext>
              </c:extLst>
              <c:f>'Avløpsbehandling-Resultater'!$D$119</c:f>
              <c:numCache>
                <c:formatCode>#,##0.00</c:formatCode>
                <c:ptCount val="1"/>
                <c:pt idx="0" formatCode="#,##0">
                  <c:v>0</c:v>
                </c:pt>
              </c:numCache>
            </c:numRef>
          </c:val>
          <c:extLst>
            <c:ext xmlns:c16="http://schemas.microsoft.com/office/drawing/2014/chart" uri="{C3380CC4-5D6E-409C-BE32-E72D297353CC}">
              <c16:uniqueId val="{00000004-87D9-467E-9D4F-D9FD965C6454}"/>
            </c:ext>
          </c:extLst>
        </c:ser>
        <c:ser>
          <c:idx val="5"/>
          <c:order val="2"/>
          <c:tx>
            <c:strRef>
              <c:f>'Avløpsbehandling-Resultater'!$A$120</c:f>
              <c:strCache>
                <c:ptCount val="1"/>
                <c:pt idx="0">
                  <c:v>Direkte utslipp av rågass - før oppgradering</c:v>
                </c:pt>
              </c:strCache>
            </c:strRef>
          </c:tx>
          <c:spPr>
            <a:solidFill>
              <a:schemeClr val="accent6"/>
            </a:solidFill>
            <a:ln>
              <a:noFill/>
            </a:ln>
            <a:effectLst/>
          </c:spPr>
          <c:invertIfNegative val="0"/>
          <c:cat>
            <c:strRef>
              <c:extLst>
                <c:ext xmlns:c15="http://schemas.microsoft.com/office/drawing/2012/chart" uri="{02D57815-91ED-43cb-92C2-25804820EDAC}">
                  <c15:fullRef>
                    <c15:sqref>'Avløpsbehandling-Resultater'!$B$117:$D$117</c15:sqref>
                  </c15:fullRef>
                </c:ext>
              </c:extLst>
              <c:f>'Avløpsbehandling-Resultater'!$D$117</c:f>
              <c:strCache>
                <c:ptCount val="1"/>
                <c:pt idx="0">
                  <c:v>kg CO₂ Ekv. </c:v>
                </c:pt>
              </c:strCache>
            </c:strRef>
          </c:cat>
          <c:val>
            <c:numRef>
              <c:extLst>
                <c:ext xmlns:c15="http://schemas.microsoft.com/office/drawing/2012/chart" uri="{02D57815-91ED-43cb-92C2-25804820EDAC}">
                  <c15:fullRef>
                    <c15:sqref>'Avløpsbehandling-Resultater'!$B$120:$D$120</c15:sqref>
                  </c15:fullRef>
                </c:ext>
              </c:extLst>
              <c:f>'Avløpsbehandling-Resultater'!$D$120</c:f>
              <c:numCache>
                <c:formatCode>#,##0</c:formatCode>
                <c:ptCount val="1"/>
                <c:pt idx="0">
                  <c:v>0</c:v>
                </c:pt>
              </c:numCache>
            </c:numRef>
          </c:val>
          <c:extLst>
            <c:ext xmlns:c16="http://schemas.microsoft.com/office/drawing/2014/chart" uri="{C3380CC4-5D6E-409C-BE32-E72D297353CC}">
              <c16:uniqueId val="{00000005-87D9-467E-9D4F-D9FD965C6454}"/>
            </c:ext>
          </c:extLst>
        </c:ser>
        <c:dLbls>
          <c:showLegendKey val="0"/>
          <c:showVal val="0"/>
          <c:showCatName val="0"/>
          <c:showSerName val="0"/>
          <c:showPercent val="0"/>
          <c:showBubbleSize val="0"/>
        </c:dLbls>
        <c:gapWidth val="150"/>
        <c:overlap val="100"/>
        <c:axId val="974553760"/>
        <c:axId val="974561632"/>
      </c:barChart>
      <c:catAx>
        <c:axId val="974553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74561632"/>
        <c:crosses val="autoZero"/>
        <c:auto val="1"/>
        <c:lblAlgn val="ctr"/>
        <c:lblOffset val="100"/>
        <c:noMultiLvlLbl val="0"/>
      </c:catAx>
      <c:valAx>
        <c:axId val="9745616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74553760"/>
        <c:crosses val="autoZero"/>
        <c:crossBetween val="between"/>
      </c:valAx>
      <c:spPr>
        <a:solidFill>
          <a:schemeClr val="bg2"/>
        </a:solidFill>
        <a:ln>
          <a:noFill/>
        </a:ln>
        <a:effectLst/>
      </c:spPr>
    </c:plotArea>
    <c:legend>
      <c:legendPos val="b"/>
      <c:layout>
        <c:manualLayout>
          <c:xMode val="edge"/>
          <c:yMode val="edge"/>
          <c:x val="8.0664491147852142E-3"/>
          <c:y val="0.57124532365785108"/>
          <c:w val="0.95412933480638518"/>
          <c:h val="0.3857901220993992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Gevinst fra eksportert energi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336829820701235"/>
          <c:y val="0.17206095189586351"/>
          <c:w val="0.69124577354017036"/>
          <c:h val="0.72766456467682483"/>
        </c:manualLayout>
      </c:layout>
      <c:barChart>
        <c:barDir val="col"/>
        <c:grouping val="stacked"/>
        <c:varyColors val="0"/>
        <c:ser>
          <c:idx val="0"/>
          <c:order val="0"/>
          <c:tx>
            <c:strRef>
              <c:f>'Gevinst fra eksportert energi'!$A$61</c:f>
              <c:strCache>
                <c:ptCount val="1"/>
                <c:pt idx="0">
                  <c:v>Strøm</c:v>
                </c:pt>
              </c:strCache>
            </c:strRef>
          </c:tx>
          <c:spPr>
            <a:solidFill>
              <a:schemeClr val="accent1"/>
            </a:solidFill>
            <a:ln>
              <a:noFill/>
            </a:ln>
            <a:effectLst/>
          </c:spPr>
          <c:invertIfNegative val="0"/>
          <c:cat>
            <c:strRef>
              <c:f>'Gevinst fra eksportert energi'!$B$60:$E$60</c:f>
              <c:strCache>
                <c:ptCount val="4"/>
                <c:pt idx="0">
                  <c:v>Vannproduksjon</c:v>
                </c:pt>
                <c:pt idx="1">
                  <c:v>Vanntransport</c:v>
                </c:pt>
                <c:pt idx="2">
                  <c:v>Avløpsbehandling</c:v>
                </c:pt>
                <c:pt idx="3">
                  <c:v>Avløpstransport</c:v>
                </c:pt>
              </c:strCache>
            </c:strRef>
          </c:cat>
          <c:val>
            <c:numRef>
              <c:f>'Gevinst fra eksportert energi'!$B$61:$E$61</c:f>
              <c:numCache>
                <c:formatCode>_(* #,##0_);_(* \(#,##0\);_(* "-"_);_(@_)</c:formatCode>
                <c:ptCount val="4"/>
                <c:pt idx="0" formatCode="General">
                  <c:v>0</c:v>
                </c:pt>
                <c:pt idx="1">
                  <c:v>0</c:v>
                </c:pt>
                <c:pt idx="2" formatCode="General">
                  <c:v>0</c:v>
                </c:pt>
                <c:pt idx="3">
                  <c:v>0</c:v>
                </c:pt>
              </c:numCache>
            </c:numRef>
          </c:val>
          <c:extLst>
            <c:ext xmlns:c16="http://schemas.microsoft.com/office/drawing/2014/chart" uri="{C3380CC4-5D6E-409C-BE32-E72D297353CC}">
              <c16:uniqueId val="{00000000-759D-480E-BC4E-9D2F2E716E95}"/>
            </c:ext>
          </c:extLst>
        </c:ser>
        <c:ser>
          <c:idx val="1"/>
          <c:order val="1"/>
          <c:tx>
            <c:strRef>
              <c:f>'Gevinst fra eksportert energi'!$A$62</c:f>
              <c:strCache>
                <c:ptCount val="1"/>
                <c:pt idx="0">
                  <c:v>Fjernvarme</c:v>
                </c:pt>
              </c:strCache>
            </c:strRef>
          </c:tx>
          <c:spPr>
            <a:solidFill>
              <a:schemeClr val="accent2"/>
            </a:solidFill>
            <a:ln>
              <a:noFill/>
            </a:ln>
            <a:effectLst/>
          </c:spPr>
          <c:invertIfNegative val="0"/>
          <c:cat>
            <c:strRef>
              <c:f>'Gevinst fra eksportert energi'!$B$60:$E$60</c:f>
              <c:strCache>
                <c:ptCount val="4"/>
                <c:pt idx="0">
                  <c:v>Vannproduksjon</c:v>
                </c:pt>
                <c:pt idx="1">
                  <c:v>Vanntransport</c:v>
                </c:pt>
                <c:pt idx="2">
                  <c:v>Avløpsbehandling</c:v>
                </c:pt>
                <c:pt idx="3">
                  <c:v>Avløpstransport</c:v>
                </c:pt>
              </c:strCache>
            </c:strRef>
          </c:cat>
          <c:val>
            <c:numRef>
              <c:f>'Gevinst fra eksportert energi'!$B$62:$E$62</c:f>
              <c:numCache>
                <c:formatCode>_(* #,##0_);_(* \(#,##0\);_(* "-"_);_(@_)</c:formatCode>
                <c:ptCount val="4"/>
                <c:pt idx="0" formatCode="General">
                  <c:v>0</c:v>
                </c:pt>
                <c:pt idx="1">
                  <c:v>0</c:v>
                </c:pt>
                <c:pt idx="2" formatCode="General">
                  <c:v>0</c:v>
                </c:pt>
                <c:pt idx="3">
                  <c:v>0</c:v>
                </c:pt>
              </c:numCache>
            </c:numRef>
          </c:val>
          <c:extLst>
            <c:ext xmlns:c16="http://schemas.microsoft.com/office/drawing/2014/chart" uri="{C3380CC4-5D6E-409C-BE32-E72D297353CC}">
              <c16:uniqueId val="{00000001-759D-480E-BC4E-9D2F2E716E95}"/>
            </c:ext>
          </c:extLst>
        </c:ser>
        <c:ser>
          <c:idx val="2"/>
          <c:order val="2"/>
          <c:tx>
            <c:strRef>
              <c:f>'Gevinst fra eksportert energi'!$A$63</c:f>
              <c:strCache>
                <c:ptCount val="1"/>
                <c:pt idx="0">
                  <c:v>Biogass</c:v>
                </c:pt>
              </c:strCache>
            </c:strRef>
          </c:tx>
          <c:spPr>
            <a:solidFill>
              <a:schemeClr val="accent3"/>
            </a:solidFill>
            <a:ln>
              <a:noFill/>
            </a:ln>
            <a:effectLst/>
          </c:spPr>
          <c:invertIfNegative val="0"/>
          <c:cat>
            <c:strRef>
              <c:f>'Gevinst fra eksportert energi'!$B$60:$E$60</c:f>
              <c:strCache>
                <c:ptCount val="4"/>
                <c:pt idx="0">
                  <c:v>Vannproduksjon</c:v>
                </c:pt>
                <c:pt idx="1">
                  <c:v>Vanntransport</c:v>
                </c:pt>
                <c:pt idx="2">
                  <c:v>Avløpsbehandling</c:v>
                </c:pt>
                <c:pt idx="3">
                  <c:v>Avløpstransport</c:v>
                </c:pt>
              </c:strCache>
            </c:strRef>
          </c:cat>
          <c:val>
            <c:numRef>
              <c:f>'Gevinst fra eksportert energi'!$B$63:$E$63</c:f>
              <c:numCache>
                <c:formatCode>General</c:formatCode>
                <c:ptCount val="4"/>
                <c:pt idx="2">
                  <c:v>0</c:v>
                </c:pt>
              </c:numCache>
            </c:numRef>
          </c:val>
          <c:extLst>
            <c:ext xmlns:c16="http://schemas.microsoft.com/office/drawing/2014/chart" uri="{C3380CC4-5D6E-409C-BE32-E72D297353CC}">
              <c16:uniqueId val="{00000003-759D-480E-BC4E-9D2F2E716E95}"/>
            </c:ext>
          </c:extLst>
        </c:ser>
        <c:dLbls>
          <c:showLegendKey val="0"/>
          <c:showVal val="0"/>
          <c:showCatName val="0"/>
          <c:showSerName val="0"/>
          <c:showPercent val="0"/>
          <c:showBubbleSize val="0"/>
        </c:dLbls>
        <c:gapWidth val="150"/>
        <c:overlap val="100"/>
        <c:axId val="187650752"/>
        <c:axId val="191462432"/>
      </c:barChart>
      <c:catAx>
        <c:axId val="187650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91462432"/>
        <c:crosses val="max"/>
        <c:auto val="1"/>
        <c:lblAlgn val="ctr"/>
        <c:lblOffset val="100"/>
        <c:noMultiLvlLbl val="0"/>
      </c:catAx>
      <c:valAx>
        <c:axId val="191462432"/>
        <c:scaling>
          <c:orientation val="maxMin"/>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a:t>
                </a:r>
                <a:r>
                  <a:rPr lang="nb-NO" baseline="0"/>
                  <a:t> CO2 ekv./år</a:t>
                </a:r>
                <a:endParaRPr lang="nb-NO"/>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876507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'Transportsystemer - Resultater'!$D$2</c:f>
              <c:strCache>
                <c:ptCount val="1"/>
                <c:pt idx="0">
                  <c:v>Avløp og Overvann</c:v>
                </c:pt>
              </c:strCache>
            </c:strRef>
          </c:tx>
          <c:spPr>
            <a:solidFill>
              <a:schemeClr val="accent1"/>
            </a:solidFill>
            <a:ln>
              <a:noFill/>
            </a:ln>
            <a:effectLst/>
          </c:spPr>
          <c:invertIfNegative val="0"/>
          <c:cat>
            <c:strRef>
              <c:f>'Transportsystemer - Resultater'!$A$3:$A$10</c:f>
              <c:strCache>
                <c:ptCount val="8"/>
                <c:pt idx="0">
                  <c:v>Utbygging av ledningsnett</c:v>
                </c:pt>
                <c:pt idx="1">
                  <c:v>Renovering av ledningsnett</c:v>
                </c:pt>
                <c:pt idx="2">
                  <c:v>Utblokking</c:v>
                </c:pt>
                <c:pt idx="3">
                  <c:v>Strømperenovering</c:v>
                </c:pt>
                <c:pt idx="4">
                  <c:v>Materialutslipp, ledningsnett</c:v>
                </c:pt>
                <c:pt idx="5">
                  <c:v>Utspregning av grunn</c:v>
                </c:pt>
                <c:pt idx="6">
                  <c:v>Transport</c:v>
                </c:pt>
                <c:pt idx="7">
                  <c:v>Elektrisitet, Norsk forbruksmiks</c:v>
                </c:pt>
              </c:strCache>
            </c:strRef>
          </c:cat>
          <c:val>
            <c:numRef>
              <c:f>'Transportsystemer - Resultater'!$D$3:$D$10</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907-4ACA-983D-DCD74B748AFF}"/>
            </c:ext>
          </c:extLst>
        </c:ser>
        <c:dLbls>
          <c:showLegendKey val="0"/>
          <c:showVal val="0"/>
          <c:showCatName val="0"/>
          <c:showSerName val="0"/>
          <c:showPercent val="0"/>
          <c:showBubbleSize val="0"/>
        </c:dLbls>
        <c:gapWidth val="150"/>
        <c:overlap val="100"/>
        <c:axId val="955623416"/>
        <c:axId val="955624072"/>
      </c:barChart>
      <c:catAx>
        <c:axId val="955623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55624072"/>
        <c:crosses val="autoZero"/>
        <c:auto val="1"/>
        <c:lblAlgn val="ctr"/>
        <c:lblOffset val="100"/>
        <c:noMultiLvlLbl val="0"/>
      </c:catAx>
      <c:valAx>
        <c:axId val="9556240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55623416"/>
        <c:crosses val="autoZero"/>
        <c:crossBetween val="between"/>
      </c:valAx>
      <c:spPr>
        <a:solidFill>
          <a:schemeClr val="bg2"/>
        </a:solid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Materialbruk</a:t>
            </a:r>
            <a:r>
              <a:rPr lang="nb-NO" baseline="0"/>
              <a:t> - Avløp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view3D>
      <c:rotX val="15"/>
      <c:rotY val="20"/>
      <c:depthPercent val="100"/>
      <c:rAngAx val="1"/>
    </c:view3D>
    <c:floor>
      <c:thickness val="0"/>
      <c:spPr>
        <a:noFill/>
        <a:ln>
          <a:noFill/>
        </a:ln>
        <a:effectLst/>
        <a:sp3d/>
      </c:spPr>
    </c:floor>
    <c:sideWall>
      <c:thickness val="0"/>
      <c:spPr>
        <a:solidFill>
          <a:schemeClr val="bg2"/>
        </a:solidFill>
        <a:ln>
          <a:noFill/>
        </a:ln>
        <a:effectLst/>
        <a:sp3d/>
      </c:spPr>
    </c:sideWall>
    <c:backWall>
      <c:thickness val="0"/>
      <c:spPr>
        <a:solidFill>
          <a:schemeClr val="bg2"/>
        </a:solidFill>
        <a:ln>
          <a:noFill/>
        </a:ln>
        <a:effectLst/>
        <a:sp3d/>
      </c:spPr>
    </c:backWall>
    <c:plotArea>
      <c:layout/>
      <c:bar3DChart>
        <c:barDir val="col"/>
        <c:grouping val="standard"/>
        <c:varyColors val="0"/>
        <c:ser>
          <c:idx val="0"/>
          <c:order val="0"/>
          <c:tx>
            <c:strRef>
              <c:f>'Transportsystemer - Resultater'!$A$40</c:f>
              <c:strCache>
                <c:ptCount val="1"/>
                <c:pt idx="0">
                  <c:v>PE</c:v>
                </c:pt>
              </c:strCache>
            </c:strRef>
          </c:tx>
          <c:spPr>
            <a:solidFill>
              <a:schemeClr val="accent1"/>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Resultater'!$B$40:$O$40</c15:sqref>
                  </c15:fullRef>
                </c:ext>
              </c:extLst>
              <c:f>('Transportsystemer - Resultater'!$C$40,'Transportsystemer - Resultater'!$E$40,'Transportsystemer - Resultater'!$G$40,'Transportsystemer - Resultater'!$I$40,'Transportsystemer - Resultater'!$K$40,'Transportsystemer - Resultater'!$M$40,'Transportsystemer - Resultater'!$O$40)</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3DA8-4D09-B42B-44ED58790D81}"/>
            </c:ext>
          </c:extLst>
        </c:ser>
        <c:ser>
          <c:idx val="1"/>
          <c:order val="1"/>
          <c:tx>
            <c:strRef>
              <c:f>'Transportsystemer - Resultater'!$A$41</c:f>
              <c:strCache>
                <c:ptCount val="1"/>
                <c:pt idx="0">
                  <c:v>PP</c:v>
                </c:pt>
              </c:strCache>
            </c:strRef>
          </c:tx>
          <c:spPr>
            <a:solidFill>
              <a:schemeClr val="accent2"/>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Resultater'!$B$41:$O$41</c15:sqref>
                  </c15:fullRef>
                </c:ext>
              </c:extLst>
              <c:f>('Transportsystemer - Resultater'!$C$41,'Transportsystemer - Resultater'!$E$41,'Transportsystemer - Resultater'!$G$41,'Transportsystemer - Resultater'!$I$41,'Transportsystemer - Resultater'!$K$41,'Transportsystemer - Resultater'!$M$41,'Transportsystemer - Resultater'!$O$41)</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3DA8-4D09-B42B-44ED58790D81}"/>
            </c:ext>
          </c:extLst>
        </c:ser>
        <c:ser>
          <c:idx val="2"/>
          <c:order val="2"/>
          <c:tx>
            <c:strRef>
              <c:f>'Transportsystemer - Resultater'!$A$42</c:f>
              <c:strCache>
                <c:ptCount val="1"/>
                <c:pt idx="0">
                  <c:v>PVC</c:v>
                </c:pt>
              </c:strCache>
            </c:strRef>
          </c:tx>
          <c:spPr>
            <a:solidFill>
              <a:schemeClr val="accent3"/>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Resultater'!$B$42:$O$42</c15:sqref>
                  </c15:fullRef>
                </c:ext>
              </c:extLst>
              <c:f>('Transportsystemer - Resultater'!$C$42,'Transportsystemer - Resultater'!$E$42,'Transportsystemer - Resultater'!$G$42,'Transportsystemer - Resultater'!$I$42,'Transportsystemer - Resultater'!$K$42,'Transportsystemer - Resultater'!$M$42,'Transportsystemer - Resultater'!$O$42)</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3DA8-4D09-B42B-44ED58790D81}"/>
            </c:ext>
          </c:extLst>
        </c:ser>
        <c:ser>
          <c:idx val="3"/>
          <c:order val="3"/>
          <c:tx>
            <c:strRef>
              <c:f>'Transportsystemer - Resultater'!$A$43</c:f>
              <c:strCache>
                <c:ptCount val="1"/>
                <c:pt idx="0">
                  <c:v>Betong</c:v>
                </c:pt>
              </c:strCache>
            </c:strRef>
          </c:tx>
          <c:spPr>
            <a:solidFill>
              <a:schemeClr val="accent4"/>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Resultater'!$B$43:$O$43</c15:sqref>
                  </c15:fullRef>
                </c:ext>
              </c:extLst>
              <c:f>('Transportsystemer - Resultater'!$C$43,'Transportsystemer - Resultater'!$E$43,'Transportsystemer - Resultater'!$G$43,'Transportsystemer - Resultater'!$I$43,'Transportsystemer - Resultater'!$K$43,'Transportsystemer - Resultater'!$M$43,'Transportsystemer - Resultater'!$O$43)</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3DA8-4D09-B42B-44ED58790D81}"/>
            </c:ext>
          </c:extLst>
        </c:ser>
        <c:ser>
          <c:idx val="4"/>
          <c:order val="4"/>
          <c:tx>
            <c:strRef>
              <c:f>'Transportsystemer - Resultater'!$A$44</c:f>
              <c:strCache>
                <c:ptCount val="1"/>
                <c:pt idx="0">
                  <c:v>GRP</c:v>
                </c:pt>
              </c:strCache>
            </c:strRef>
          </c:tx>
          <c:spPr>
            <a:solidFill>
              <a:schemeClr val="accent5"/>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Resultater'!$B$44:$O$44</c15:sqref>
                  </c15:fullRef>
                </c:ext>
              </c:extLst>
              <c:f>('Transportsystemer - Resultater'!$C$44,'Transportsystemer - Resultater'!$E$44,'Transportsystemer - Resultater'!$G$44,'Transportsystemer - Resultater'!$I$44,'Transportsystemer - Resultater'!$K$44,'Transportsystemer - Resultater'!$M$44,'Transportsystemer - Resultater'!$O$44)</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3DA8-4D09-B42B-44ED58790D81}"/>
            </c:ext>
          </c:extLst>
        </c:ser>
        <c:ser>
          <c:idx val="5"/>
          <c:order val="5"/>
          <c:tx>
            <c:strRef>
              <c:f>'Transportsystemer - Resultater'!$A$45</c:f>
              <c:strCache>
                <c:ptCount val="1"/>
                <c:pt idx="0">
                  <c:v>Støpejern</c:v>
                </c:pt>
              </c:strCache>
            </c:strRef>
          </c:tx>
          <c:spPr>
            <a:solidFill>
              <a:schemeClr val="accent6"/>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Resultater'!$B$45:$O$45</c15:sqref>
                  </c15:fullRef>
                </c:ext>
              </c:extLst>
              <c:f>('Transportsystemer - Resultater'!$C$45,'Transportsystemer - Resultater'!$E$45,'Transportsystemer - Resultater'!$G$45,'Transportsystemer - Resultater'!$I$45,'Transportsystemer - Resultater'!$K$45,'Transportsystemer - Resultater'!$M$45,'Transportsystemer - Resultater'!$O$45)</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3DA8-4D09-B42B-44ED58790D81}"/>
            </c:ext>
          </c:extLst>
        </c:ser>
        <c:ser>
          <c:idx val="6"/>
          <c:order val="6"/>
          <c:tx>
            <c:strRef>
              <c:f>'Transportsystemer - Resultater'!$A$46</c:f>
              <c:strCache>
                <c:ptCount val="1"/>
                <c:pt idx="0">
                  <c:v>Rustfritt stål</c:v>
                </c:pt>
              </c:strCache>
            </c:strRef>
          </c:tx>
          <c:spPr>
            <a:solidFill>
              <a:schemeClr val="accent1">
                <a:lumMod val="60000"/>
              </a:schemeClr>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Resultater'!$B$46:$O$46</c15:sqref>
                  </c15:fullRef>
                </c:ext>
              </c:extLst>
              <c:f>('Transportsystemer - Resultater'!$C$46,'Transportsystemer - Resultater'!$E$46,'Transportsystemer - Resultater'!$G$46,'Transportsystemer - Resultater'!$I$46,'Transportsystemer - Resultater'!$K$46,'Transportsystemer - Resultater'!$M$46,'Transportsystemer - Resultater'!$O$46)</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3DA8-4D09-B42B-44ED58790D81}"/>
            </c:ext>
          </c:extLst>
        </c:ser>
        <c:dLbls>
          <c:showLegendKey val="0"/>
          <c:showVal val="0"/>
          <c:showCatName val="0"/>
          <c:showSerName val="0"/>
          <c:showPercent val="0"/>
          <c:showBubbleSize val="0"/>
        </c:dLbls>
        <c:gapWidth val="150"/>
        <c:shape val="box"/>
        <c:axId val="1664647016"/>
        <c:axId val="1664643408"/>
        <c:axId val="1661954112"/>
      </c:bar3DChart>
      <c:catAx>
        <c:axId val="16646470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auto val="1"/>
        <c:lblAlgn val="ctr"/>
        <c:lblOffset val="100"/>
        <c:noMultiLvlLbl val="0"/>
      </c:catAx>
      <c:valAx>
        <c:axId val="166464340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64647016"/>
        <c:crosses val="autoZero"/>
        <c:crossBetween val="between"/>
      </c:valAx>
      <c:serAx>
        <c:axId val="1661954112"/>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ser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'Transportsystemer - Resultater'!$B$2</c:f>
              <c:strCache>
                <c:ptCount val="1"/>
                <c:pt idx="0">
                  <c:v>kg CO₂ ekv. </c:v>
                </c:pt>
              </c:strCache>
            </c:strRef>
          </c:tx>
          <c:spPr>
            <a:solidFill>
              <a:schemeClr val="accent1"/>
            </a:solidFill>
            <a:ln>
              <a:noFill/>
            </a:ln>
            <a:effectLst/>
          </c:spPr>
          <c:invertIfNegative val="0"/>
          <c:cat>
            <c:strRef>
              <c:f>'Transportsystemer - Resultater'!$A$3:$A$10</c:f>
              <c:strCache>
                <c:ptCount val="8"/>
                <c:pt idx="0">
                  <c:v>Utbygging av ledningsnett</c:v>
                </c:pt>
                <c:pt idx="1">
                  <c:v>Renovering av ledningsnett</c:v>
                </c:pt>
                <c:pt idx="2">
                  <c:v>Utblokking</c:v>
                </c:pt>
                <c:pt idx="3">
                  <c:v>Strømperenovering</c:v>
                </c:pt>
                <c:pt idx="4">
                  <c:v>Materialutslipp, ledningsnett</c:v>
                </c:pt>
                <c:pt idx="5">
                  <c:v>Utspregning av grunn</c:v>
                </c:pt>
                <c:pt idx="6">
                  <c:v>Transport</c:v>
                </c:pt>
                <c:pt idx="7">
                  <c:v>Elektrisitet, Norsk forbruksmiks</c:v>
                </c:pt>
              </c:strCache>
            </c:strRef>
          </c:cat>
          <c:val>
            <c:numRef>
              <c:f>'Transportsystemer - Resultater'!$B$3:$B$10</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FA8F-40A4-ABB0-4EFB99AE5DFA}"/>
            </c:ext>
          </c:extLst>
        </c:ser>
        <c:dLbls>
          <c:showLegendKey val="0"/>
          <c:showVal val="0"/>
          <c:showCatName val="0"/>
          <c:showSerName val="0"/>
          <c:showPercent val="0"/>
          <c:showBubbleSize val="0"/>
        </c:dLbls>
        <c:gapWidth val="150"/>
        <c:overlap val="100"/>
        <c:axId val="955623416"/>
        <c:axId val="955624072"/>
      </c:barChart>
      <c:catAx>
        <c:axId val="955623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55624072"/>
        <c:crosses val="autoZero"/>
        <c:auto val="1"/>
        <c:lblAlgn val="ctr"/>
        <c:lblOffset val="100"/>
        <c:noMultiLvlLbl val="0"/>
      </c:catAx>
      <c:valAx>
        <c:axId val="955624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a:t>
                </a:r>
                <a:r>
                  <a:rPr lang="nb-NO" baseline="0"/>
                  <a:t> CO</a:t>
                </a:r>
                <a:r>
                  <a:rPr lang="nb-NO" baseline="-25000"/>
                  <a:t>2</a:t>
                </a:r>
                <a:r>
                  <a:rPr lang="nb-NO" baseline="0"/>
                  <a:t> ekv.</a:t>
                </a:r>
                <a:endParaRPr lang="nb-NO"/>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55623416"/>
        <c:crosses val="autoZero"/>
        <c:crossBetween val="between"/>
      </c:valAx>
      <c:spPr>
        <a:solidFill>
          <a:schemeClr val="bg2"/>
        </a:solid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Materialbruk</a:t>
            </a:r>
            <a:r>
              <a:rPr lang="nb-NO" baseline="0"/>
              <a:t> - Vann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view3D>
      <c:rotX val="15"/>
      <c:rotY val="20"/>
      <c:depthPercent val="100"/>
      <c:rAngAx val="1"/>
    </c:view3D>
    <c:floor>
      <c:thickness val="0"/>
      <c:spPr>
        <a:noFill/>
        <a:ln>
          <a:noFill/>
        </a:ln>
        <a:effectLst/>
        <a:sp3d/>
      </c:spPr>
    </c:floor>
    <c:sideWall>
      <c:thickness val="0"/>
      <c:spPr>
        <a:solidFill>
          <a:schemeClr val="bg2"/>
        </a:solidFill>
        <a:ln>
          <a:noFill/>
        </a:ln>
        <a:effectLst/>
        <a:sp3d/>
      </c:spPr>
    </c:sideWall>
    <c:backWall>
      <c:thickness val="0"/>
      <c:spPr>
        <a:solidFill>
          <a:schemeClr val="bg2"/>
        </a:solidFill>
        <a:ln>
          <a:noFill/>
        </a:ln>
        <a:effectLst/>
        <a:sp3d/>
      </c:spPr>
    </c:backWall>
    <c:plotArea>
      <c:layout/>
      <c:bar3DChart>
        <c:barDir val="col"/>
        <c:grouping val="standard"/>
        <c:varyColors val="0"/>
        <c:ser>
          <c:idx val="0"/>
          <c:order val="0"/>
          <c:tx>
            <c:strRef>
              <c:f>'Transportsystemer - Resultater'!$A$40</c:f>
              <c:strCache>
                <c:ptCount val="1"/>
                <c:pt idx="0">
                  <c:v>PE</c:v>
                </c:pt>
              </c:strCache>
            </c:strRef>
          </c:tx>
          <c:spPr>
            <a:solidFill>
              <a:schemeClr val="accent1"/>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Resultater'!$B$38,'Transportsystemer - Resultater'!$D$38,'Transportsystemer - Resultater'!$F$38,'Transportsystemer - Resultater'!$H$38,'Transportsystemer - Resultater'!$J$38,'Transportsystemer - Resultater'!$L$38,'Transportsystemer - Resultater'!$N$38)</c:f>
              <c:numCache>
                <c:formatCode>General</c:formatCode>
                <c:ptCount val="7"/>
                <c:pt idx="0">
                  <c:v>100</c:v>
                </c:pt>
                <c:pt idx="1">
                  <c:v>150</c:v>
                </c:pt>
                <c:pt idx="2">
                  <c:v>200</c:v>
                </c:pt>
                <c:pt idx="3">
                  <c:v>250</c:v>
                </c:pt>
                <c:pt idx="4">
                  <c:v>300</c:v>
                </c:pt>
                <c:pt idx="5">
                  <c:v>400</c:v>
                </c:pt>
                <c:pt idx="6">
                  <c:v>600</c:v>
                </c:pt>
              </c:numCache>
            </c:numRef>
          </c:cat>
          <c:val>
            <c:numRef>
              <c:extLst>
                <c:ext xmlns:c15="http://schemas.microsoft.com/office/drawing/2012/chart" uri="{02D57815-91ED-43cb-92C2-25804820EDAC}">
                  <c15:fullRef>
                    <c15:sqref>'Transportsystemer - Resultater'!$B$40:$O$40</c15:sqref>
                  </c15:fullRef>
                </c:ext>
              </c:extLst>
              <c:f>('Transportsystemer - Resultater'!$B$40,'Transportsystemer - Resultater'!$D$40,'Transportsystemer - Resultater'!$F$40,'Transportsystemer - Resultater'!$H$40,'Transportsystemer - Resultater'!$J$40,'Transportsystemer - Resultater'!$L$40,'Transportsystemer - Resultater'!$N$40)</c:f>
              <c:numCache>
                <c:formatCode>_(* #,##0_);_(* \(#,##0\);_(* "-"_);_(@_)</c:formatCode>
                <c:ptCount val="7"/>
                <c:pt idx="0">
                  <c:v>0</c:v>
                </c:pt>
                <c:pt idx="1">
                  <c:v>0</c:v>
                </c:pt>
                <c:pt idx="2">
                  <c:v>0</c:v>
                </c:pt>
                <c:pt idx="3">
                  <c:v>0</c:v>
                </c:pt>
                <c:pt idx="4">
                  <c:v>113776415.57550487</c:v>
                </c:pt>
                <c:pt idx="5">
                  <c:v>0</c:v>
                </c:pt>
                <c:pt idx="6">
                  <c:v>474068398.23127031</c:v>
                </c:pt>
              </c:numCache>
            </c:numRef>
          </c:val>
          <c:extLst>
            <c:ext xmlns:c16="http://schemas.microsoft.com/office/drawing/2014/chart" uri="{C3380CC4-5D6E-409C-BE32-E72D297353CC}">
              <c16:uniqueId val="{00000000-EAAB-4E02-9C89-056CAAE15ECE}"/>
            </c:ext>
          </c:extLst>
        </c:ser>
        <c:ser>
          <c:idx val="1"/>
          <c:order val="1"/>
          <c:tx>
            <c:strRef>
              <c:f>'Transportsystemer - Resultater'!$A$41</c:f>
              <c:strCache>
                <c:ptCount val="1"/>
                <c:pt idx="0">
                  <c:v>PP</c:v>
                </c:pt>
              </c:strCache>
            </c:strRef>
          </c:tx>
          <c:spPr>
            <a:solidFill>
              <a:schemeClr val="accent2"/>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Resultater'!$B$38,'Transportsystemer - Resultater'!$D$38,'Transportsystemer - Resultater'!$F$38,'Transportsystemer - Resultater'!$H$38,'Transportsystemer - Resultater'!$J$38,'Transportsystemer - Resultater'!$L$38,'Transportsystemer - Resultater'!$N$38)</c:f>
              <c:numCache>
                <c:formatCode>General</c:formatCode>
                <c:ptCount val="7"/>
                <c:pt idx="0">
                  <c:v>100</c:v>
                </c:pt>
                <c:pt idx="1">
                  <c:v>150</c:v>
                </c:pt>
                <c:pt idx="2">
                  <c:v>200</c:v>
                </c:pt>
                <c:pt idx="3">
                  <c:v>250</c:v>
                </c:pt>
                <c:pt idx="4">
                  <c:v>300</c:v>
                </c:pt>
                <c:pt idx="5">
                  <c:v>400</c:v>
                </c:pt>
                <c:pt idx="6">
                  <c:v>600</c:v>
                </c:pt>
              </c:numCache>
            </c:numRef>
          </c:cat>
          <c:val>
            <c:numRef>
              <c:extLst>
                <c:ext xmlns:c15="http://schemas.microsoft.com/office/drawing/2012/chart" uri="{02D57815-91ED-43cb-92C2-25804820EDAC}">
                  <c15:fullRef>
                    <c15:sqref>'Transportsystemer - Resultater'!$B$41:$O$41</c15:sqref>
                  </c15:fullRef>
                </c:ext>
              </c:extLst>
              <c:f>('Transportsystemer - Resultater'!$B$41,'Transportsystemer - Resultater'!$D$41,'Transportsystemer - Resultater'!$F$41,'Transportsystemer - Resultater'!$H$41,'Transportsystemer - Resultater'!$J$41,'Transportsystemer - Resultater'!$L$41,'Transportsystemer - Resultater'!$N$41)</c:f>
              <c:numCache>
                <c:formatCode>_(* #,##0_);_(* \(#,##0\);_(* "-"_);_(@_)</c:formatCode>
                <c:ptCount val="7"/>
                <c:pt idx="0">
                  <c:v>0</c:v>
                </c:pt>
                <c:pt idx="1">
                  <c:v>0</c:v>
                </c:pt>
                <c:pt idx="2">
                  <c:v>0</c:v>
                </c:pt>
                <c:pt idx="3">
                  <c:v>0</c:v>
                </c:pt>
                <c:pt idx="4">
                  <c:v>54687847.388801455</c:v>
                </c:pt>
                <c:pt idx="5">
                  <c:v>0</c:v>
                </c:pt>
                <c:pt idx="6">
                  <c:v>219266830.4707543</c:v>
                </c:pt>
              </c:numCache>
            </c:numRef>
          </c:val>
          <c:extLst>
            <c:ext xmlns:c16="http://schemas.microsoft.com/office/drawing/2014/chart" uri="{C3380CC4-5D6E-409C-BE32-E72D297353CC}">
              <c16:uniqueId val="{00000001-EAAB-4E02-9C89-056CAAE15ECE}"/>
            </c:ext>
          </c:extLst>
        </c:ser>
        <c:ser>
          <c:idx val="2"/>
          <c:order val="2"/>
          <c:tx>
            <c:strRef>
              <c:f>'Transportsystemer - Resultater'!$A$42</c:f>
              <c:strCache>
                <c:ptCount val="1"/>
                <c:pt idx="0">
                  <c:v>PVC</c:v>
                </c:pt>
              </c:strCache>
            </c:strRef>
          </c:tx>
          <c:spPr>
            <a:solidFill>
              <a:schemeClr val="accent3"/>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Resultater'!$B$38,'Transportsystemer - Resultater'!$D$38,'Transportsystemer - Resultater'!$F$38,'Transportsystemer - Resultater'!$H$38,'Transportsystemer - Resultater'!$J$38,'Transportsystemer - Resultater'!$L$38,'Transportsystemer - Resultater'!$N$38)</c:f>
              <c:numCache>
                <c:formatCode>General</c:formatCode>
                <c:ptCount val="7"/>
                <c:pt idx="0">
                  <c:v>100</c:v>
                </c:pt>
                <c:pt idx="1">
                  <c:v>150</c:v>
                </c:pt>
                <c:pt idx="2">
                  <c:v>200</c:v>
                </c:pt>
                <c:pt idx="3">
                  <c:v>250</c:v>
                </c:pt>
                <c:pt idx="4">
                  <c:v>300</c:v>
                </c:pt>
                <c:pt idx="5">
                  <c:v>400</c:v>
                </c:pt>
                <c:pt idx="6">
                  <c:v>600</c:v>
                </c:pt>
              </c:numCache>
            </c:numRef>
          </c:cat>
          <c:val>
            <c:numRef>
              <c:extLst>
                <c:ext xmlns:c15="http://schemas.microsoft.com/office/drawing/2012/chart" uri="{02D57815-91ED-43cb-92C2-25804820EDAC}">
                  <c15:fullRef>
                    <c15:sqref>'Transportsystemer - Resultater'!$B$42:$O$42</c15:sqref>
                  </c15:fullRef>
                </c:ext>
              </c:extLst>
              <c:f>('Transportsystemer - Resultater'!$B$42,'Transportsystemer - Resultater'!$D$42,'Transportsystemer - Resultater'!$F$42,'Transportsystemer - Resultater'!$H$42,'Transportsystemer - Resultater'!$J$42,'Transportsystemer - Resultater'!$L$42,'Transportsystemer - Resultater'!$N$42)</c:f>
              <c:numCache>
                <c:formatCode>_(* #,##0_);_(* \(#,##0\);_(* "-"_);_(@_)</c:formatCode>
                <c:ptCount val="7"/>
                <c:pt idx="0">
                  <c:v>0</c:v>
                </c:pt>
                <c:pt idx="1">
                  <c:v>0</c:v>
                </c:pt>
                <c:pt idx="2">
                  <c:v>0</c:v>
                </c:pt>
                <c:pt idx="3">
                  <c:v>0</c:v>
                </c:pt>
                <c:pt idx="4">
                  <c:v>99877141.770535499</c:v>
                </c:pt>
                <c:pt idx="5">
                  <c:v>0</c:v>
                </c:pt>
                <c:pt idx="6">
                  <c:v>485932550.3646946</c:v>
                </c:pt>
              </c:numCache>
            </c:numRef>
          </c:val>
          <c:extLst>
            <c:ext xmlns:c16="http://schemas.microsoft.com/office/drawing/2014/chart" uri="{C3380CC4-5D6E-409C-BE32-E72D297353CC}">
              <c16:uniqueId val="{00000002-EAAB-4E02-9C89-056CAAE15ECE}"/>
            </c:ext>
          </c:extLst>
        </c:ser>
        <c:ser>
          <c:idx val="3"/>
          <c:order val="3"/>
          <c:tx>
            <c:strRef>
              <c:f>'Transportsystemer - Resultater'!$A$43</c:f>
              <c:strCache>
                <c:ptCount val="1"/>
                <c:pt idx="0">
                  <c:v>Betong</c:v>
                </c:pt>
              </c:strCache>
            </c:strRef>
          </c:tx>
          <c:spPr>
            <a:solidFill>
              <a:schemeClr val="accent4"/>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Resultater'!$B$38,'Transportsystemer - Resultater'!$D$38,'Transportsystemer - Resultater'!$F$38,'Transportsystemer - Resultater'!$H$38,'Transportsystemer - Resultater'!$J$38,'Transportsystemer - Resultater'!$L$38,'Transportsystemer - Resultater'!$N$38)</c:f>
              <c:numCache>
                <c:formatCode>General</c:formatCode>
                <c:ptCount val="7"/>
                <c:pt idx="0">
                  <c:v>100</c:v>
                </c:pt>
                <c:pt idx="1">
                  <c:v>150</c:v>
                </c:pt>
                <c:pt idx="2">
                  <c:v>200</c:v>
                </c:pt>
                <c:pt idx="3">
                  <c:v>250</c:v>
                </c:pt>
                <c:pt idx="4">
                  <c:v>300</c:v>
                </c:pt>
                <c:pt idx="5">
                  <c:v>400</c:v>
                </c:pt>
                <c:pt idx="6">
                  <c:v>600</c:v>
                </c:pt>
              </c:numCache>
            </c:numRef>
          </c:cat>
          <c:val>
            <c:numRef>
              <c:extLst>
                <c:ext xmlns:c15="http://schemas.microsoft.com/office/drawing/2012/chart" uri="{02D57815-91ED-43cb-92C2-25804820EDAC}">
                  <c15:fullRef>
                    <c15:sqref>'Transportsystemer - Resultater'!$B$43:$O$43</c15:sqref>
                  </c15:fullRef>
                </c:ext>
              </c:extLst>
              <c:f>('Transportsystemer - Resultater'!$B$43,'Transportsystemer - Resultater'!$D$43,'Transportsystemer - Resultater'!$F$43,'Transportsystemer - Resultater'!$H$43,'Transportsystemer - Resultater'!$J$43,'Transportsystemer - Resultater'!$L$43,'Transportsystemer - Resultater'!$N$43)</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EAAB-4E02-9C89-056CAAE15ECE}"/>
            </c:ext>
          </c:extLst>
        </c:ser>
        <c:ser>
          <c:idx val="4"/>
          <c:order val="4"/>
          <c:tx>
            <c:strRef>
              <c:f>'Transportsystemer - Resultater'!$A$44</c:f>
              <c:strCache>
                <c:ptCount val="1"/>
                <c:pt idx="0">
                  <c:v>GRP</c:v>
                </c:pt>
              </c:strCache>
            </c:strRef>
          </c:tx>
          <c:spPr>
            <a:solidFill>
              <a:schemeClr val="accent5"/>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Resultater'!$B$38,'Transportsystemer - Resultater'!$D$38,'Transportsystemer - Resultater'!$F$38,'Transportsystemer - Resultater'!$H$38,'Transportsystemer - Resultater'!$J$38,'Transportsystemer - Resultater'!$L$38,'Transportsystemer - Resultater'!$N$38)</c:f>
              <c:numCache>
                <c:formatCode>General</c:formatCode>
                <c:ptCount val="7"/>
                <c:pt idx="0">
                  <c:v>100</c:v>
                </c:pt>
                <c:pt idx="1">
                  <c:v>150</c:v>
                </c:pt>
                <c:pt idx="2">
                  <c:v>200</c:v>
                </c:pt>
                <c:pt idx="3">
                  <c:v>250</c:v>
                </c:pt>
                <c:pt idx="4">
                  <c:v>300</c:v>
                </c:pt>
                <c:pt idx="5">
                  <c:v>400</c:v>
                </c:pt>
                <c:pt idx="6">
                  <c:v>600</c:v>
                </c:pt>
              </c:numCache>
            </c:numRef>
          </c:cat>
          <c:val>
            <c:numRef>
              <c:extLst>
                <c:ext xmlns:c15="http://schemas.microsoft.com/office/drawing/2012/chart" uri="{02D57815-91ED-43cb-92C2-25804820EDAC}">
                  <c15:fullRef>
                    <c15:sqref>'Transportsystemer - Resultater'!$B$44:$O$44</c15:sqref>
                  </c15:fullRef>
                </c:ext>
              </c:extLst>
              <c:f>('Transportsystemer - Resultater'!$B$44,'Transportsystemer - Resultater'!$D$44,'Transportsystemer - Resultater'!$F$44,'Transportsystemer - Resultater'!$H$44,'Transportsystemer - Resultater'!$J$44,'Transportsystemer - Resultater'!$L$44,'Transportsystemer - Resultater'!$N$44)</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EAAB-4E02-9C89-056CAAE15ECE}"/>
            </c:ext>
          </c:extLst>
        </c:ser>
        <c:ser>
          <c:idx val="5"/>
          <c:order val="5"/>
          <c:tx>
            <c:strRef>
              <c:f>'Transportsystemer - Resultater'!$A$45</c:f>
              <c:strCache>
                <c:ptCount val="1"/>
                <c:pt idx="0">
                  <c:v>Støpejern</c:v>
                </c:pt>
              </c:strCache>
            </c:strRef>
          </c:tx>
          <c:spPr>
            <a:solidFill>
              <a:schemeClr val="accent6"/>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Resultater'!$B$38,'Transportsystemer - Resultater'!$D$38,'Transportsystemer - Resultater'!$F$38,'Transportsystemer - Resultater'!$H$38,'Transportsystemer - Resultater'!$J$38,'Transportsystemer - Resultater'!$L$38,'Transportsystemer - Resultater'!$N$38)</c:f>
              <c:numCache>
                <c:formatCode>General</c:formatCode>
                <c:ptCount val="7"/>
                <c:pt idx="0">
                  <c:v>100</c:v>
                </c:pt>
                <c:pt idx="1">
                  <c:v>150</c:v>
                </c:pt>
                <c:pt idx="2">
                  <c:v>200</c:v>
                </c:pt>
                <c:pt idx="3">
                  <c:v>250</c:v>
                </c:pt>
                <c:pt idx="4">
                  <c:v>300</c:v>
                </c:pt>
                <c:pt idx="5">
                  <c:v>400</c:v>
                </c:pt>
                <c:pt idx="6">
                  <c:v>600</c:v>
                </c:pt>
              </c:numCache>
            </c:numRef>
          </c:cat>
          <c:val>
            <c:numRef>
              <c:extLst>
                <c:ext xmlns:c15="http://schemas.microsoft.com/office/drawing/2012/chart" uri="{02D57815-91ED-43cb-92C2-25804820EDAC}">
                  <c15:fullRef>
                    <c15:sqref>'Transportsystemer - Resultater'!$B$45:$O$45</c15:sqref>
                  </c15:fullRef>
                </c:ext>
              </c:extLst>
              <c:f>('Transportsystemer - Resultater'!$B$45,'Transportsystemer - Resultater'!$D$45,'Transportsystemer - Resultater'!$F$45,'Transportsystemer - Resultater'!$H$45,'Transportsystemer - Resultater'!$J$45,'Transportsystemer - Resultater'!$L$45,'Transportsystemer - Resultater'!$N$45)</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EAAB-4E02-9C89-056CAAE15ECE}"/>
            </c:ext>
          </c:extLst>
        </c:ser>
        <c:ser>
          <c:idx val="6"/>
          <c:order val="6"/>
          <c:tx>
            <c:strRef>
              <c:f>'Transportsystemer - Resultater'!$A$46</c:f>
              <c:strCache>
                <c:ptCount val="1"/>
                <c:pt idx="0">
                  <c:v>Rustfritt stål</c:v>
                </c:pt>
              </c:strCache>
            </c:strRef>
          </c:tx>
          <c:spPr>
            <a:solidFill>
              <a:schemeClr val="accent1">
                <a:lumMod val="60000"/>
              </a:schemeClr>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Resultater'!$B$38,'Transportsystemer - Resultater'!$D$38,'Transportsystemer - Resultater'!$F$38,'Transportsystemer - Resultater'!$H$38,'Transportsystemer - Resultater'!$J$38,'Transportsystemer - Resultater'!$L$38,'Transportsystemer - Resultater'!$N$38)</c:f>
              <c:numCache>
                <c:formatCode>General</c:formatCode>
                <c:ptCount val="7"/>
                <c:pt idx="0">
                  <c:v>100</c:v>
                </c:pt>
                <c:pt idx="1">
                  <c:v>150</c:v>
                </c:pt>
                <c:pt idx="2">
                  <c:v>200</c:v>
                </c:pt>
                <c:pt idx="3">
                  <c:v>250</c:v>
                </c:pt>
                <c:pt idx="4">
                  <c:v>300</c:v>
                </c:pt>
                <c:pt idx="5">
                  <c:v>400</c:v>
                </c:pt>
                <c:pt idx="6">
                  <c:v>600</c:v>
                </c:pt>
              </c:numCache>
            </c:numRef>
          </c:cat>
          <c:val>
            <c:numRef>
              <c:extLst>
                <c:ext xmlns:c15="http://schemas.microsoft.com/office/drawing/2012/chart" uri="{02D57815-91ED-43cb-92C2-25804820EDAC}">
                  <c15:fullRef>
                    <c15:sqref>'Transportsystemer - Resultater'!$B$46:$O$46</c15:sqref>
                  </c15:fullRef>
                </c:ext>
              </c:extLst>
              <c:f>('Transportsystemer - Resultater'!$B$46,'Transportsystemer - Resultater'!$D$46,'Transportsystemer - Resultater'!$F$46,'Transportsystemer - Resultater'!$H$46,'Transportsystemer - Resultater'!$J$46,'Transportsystemer - Resultater'!$L$46,'Transportsystemer - Resultater'!$N$46)</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A75E-487C-8CE8-F8DAB810F674}"/>
            </c:ext>
          </c:extLst>
        </c:ser>
        <c:dLbls>
          <c:showLegendKey val="0"/>
          <c:showVal val="0"/>
          <c:showCatName val="0"/>
          <c:showSerName val="0"/>
          <c:showPercent val="0"/>
          <c:showBubbleSize val="0"/>
        </c:dLbls>
        <c:gapWidth val="150"/>
        <c:shape val="box"/>
        <c:axId val="1664647016"/>
        <c:axId val="1664643408"/>
        <c:axId val="1661954112"/>
      </c:bar3DChart>
      <c:catAx>
        <c:axId val="16646470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auto val="1"/>
        <c:lblAlgn val="ctr"/>
        <c:lblOffset val="100"/>
        <c:noMultiLvlLbl val="0"/>
      </c:catAx>
      <c:valAx>
        <c:axId val="166464340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64647016"/>
        <c:crosses val="autoZero"/>
        <c:crossBetween val="between"/>
      </c:valAx>
      <c:serAx>
        <c:axId val="1661954112"/>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ser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Materialbruk</a:t>
            </a:r>
            <a:r>
              <a:rPr lang="nb-NO" baseline="0"/>
              <a:t> - Avløp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view3D>
      <c:rotX val="15"/>
      <c:rotY val="20"/>
      <c:depthPercent val="100"/>
      <c:rAngAx val="1"/>
    </c:view3D>
    <c:floor>
      <c:thickness val="0"/>
      <c:spPr>
        <a:noFill/>
        <a:ln>
          <a:noFill/>
        </a:ln>
        <a:effectLst/>
        <a:sp3d/>
      </c:spPr>
    </c:floor>
    <c:sideWall>
      <c:thickness val="0"/>
      <c:spPr>
        <a:solidFill>
          <a:schemeClr val="bg2"/>
        </a:solidFill>
        <a:ln>
          <a:noFill/>
        </a:ln>
        <a:effectLst/>
        <a:sp3d/>
      </c:spPr>
    </c:sideWall>
    <c:backWall>
      <c:thickness val="0"/>
      <c:spPr>
        <a:solidFill>
          <a:schemeClr val="bg2"/>
        </a:solidFill>
        <a:ln>
          <a:noFill/>
        </a:ln>
        <a:effectLst/>
        <a:sp3d/>
      </c:spPr>
    </c:backWall>
    <c:plotArea>
      <c:layout/>
      <c:bar3DChart>
        <c:barDir val="col"/>
        <c:grouping val="standard"/>
        <c:varyColors val="0"/>
        <c:ser>
          <c:idx val="0"/>
          <c:order val="0"/>
          <c:tx>
            <c:strRef>
              <c:f>'Transportsystemer - Resultater'!$A$40</c:f>
              <c:strCache>
                <c:ptCount val="1"/>
                <c:pt idx="0">
                  <c:v>PE</c:v>
                </c:pt>
              </c:strCache>
            </c:strRef>
          </c:tx>
          <c:spPr>
            <a:solidFill>
              <a:schemeClr val="accent1"/>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Resultater'!$B$40:$O$40</c15:sqref>
                  </c15:fullRef>
                </c:ext>
              </c:extLst>
              <c:f>('Transportsystemer - Resultater'!$C$40,'Transportsystemer - Resultater'!$E$40,'Transportsystemer - Resultater'!$G$40,'Transportsystemer - Resultater'!$I$40,'Transportsystemer - Resultater'!$K$40,'Transportsystemer - Resultater'!$M$40,'Transportsystemer - Resultater'!$O$40)</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FE90-46CD-93B3-F2EB85AA6308}"/>
            </c:ext>
          </c:extLst>
        </c:ser>
        <c:ser>
          <c:idx val="1"/>
          <c:order val="1"/>
          <c:tx>
            <c:strRef>
              <c:f>'Transportsystemer - Resultater'!$A$41</c:f>
              <c:strCache>
                <c:ptCount val="1"/>
                <c:pt idx="0">
                  <c:v>PP</c:v>
                </c:pt>
              </c:strCache>
            </c:strRef>
          </c:tx>
          <c:spPr>
            <a:solidFill>
              <a:schemeClr val="accent2"/>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Resultater'!$B$41:$O$41</c15:sqref>
                  </c15:fullRef>
                </c:ext>
              </c:extLst>
              <c:f>('Transportsystemer - Resultater'!$C$41,'Transportsystemer - Resultater'!$E$41,'Transportsystemer - Resultater'!$G$41,'Transportsystemer - Resultater'!$I$41,'Transportsystemer - Resultater'!$K$41,'Transportsystemer - Resultater'!$M$41,'Transportsystemer - Resultater'!$O$41)</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FE90-46CD-93B3-F2EB85AA6308}"/>
            </c:ext>
          </c:extLst>
        </c:ser>
        <c:ser>
          <c:idx val="2"/>
          <c:order val="2"/>
          <c:tx>
            <c:strRef>
              <c:f>'Transportsystemer - Resultater'!$A$42</c:f>
              <c:strCache>
                <c:ptCount val="1"/>
                <c:pt idx="0">
                  <c:v>PVC</c:v>
                </c:pt>
              </c:strCache>
            </c:strRef>
          </c:tx>
          <c:spPr>
            <a:solidFill>
              <a:schemeClr val="accent3"/>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Resultater'!$B$42:$O$42</c15:sqref>
                  </c15:fullRef>
                </c:ext>
              </c:extLst>
              <c:f>('Transportsystemer - Resultater'!$C$42,'Transportsystemer - Resultater'!$E$42,'Transportsystemer - Resultater'!$G$42,'Transportsystemer - Resultater'!$I$42,'Transportsystemer - Resultater'!$K$42,'Transportsystemer - Resultater'!$M$42,'Transportsystemer - Resultater'!$O$42)</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FE90-46CD-93B3-F2EB85AA6308}"/>
            </c:ext>
          </c:extLst>
        </c:ser>
        <c:ser>
          <c:idx val="3"/>
          <c:order val="3"/>
          <c:tx>
            <c:strRef>
              <c:f>'Transportsystemer - Resultater'!$A$43</c:f>
              <c:strCache>
                <c:ptCount val="1"/>
                <c:pt idx="0">
                  <c:v>Betong</c:v>
                </c:pt>
              </c:strCache>
            </c:strRef>
          </c:tx>
          <c:spPr>
            <a:solidFill>
              <a:schemeClr val="accent4"/>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Resultater'!$B$43:$O$43</c15:sqref>
                  </c15:fullRef>
                </c:ext>
              </c:extLst>
              <c:f>('Transportsystemer - Resultater'!$C$43,'Transportsystemer - Resultater'!$E$43,'Transportsystemer - Resultater'!$G$43,'Transportsystemer - Resultater'!$I$43,'Transportsystemer - Resultater'!$K$43,'Transportsystemer - Resultater'!$M$43,'Transportsystemer - Resultater'!$O$43)</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FE90-46CD-93B3-F2EB85AA6308}"/>
            </c:ext>
          </c:extLst>
        </c:ser>
        <c:ser>
          <c:idx val="4"/>
          <c:order val="4"/>
          <c:tx>
            <c:strRef>
              <c:f>'Transportsystemer - Resultater'!$A$44</c:f>
              <c:strCache>
                <c:ptCount val="1"/>
                <c:pt idx="0">
                  <c:v>GRP</c:v>
                </c:pt>
              </c:strCache>
            </c:strRef>
          </c:tx>
          <c:spPr>
            <a:solidFill>
              <a:schemeClr val="accent5"/>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Resultater'!$B$44:$O$44</c15:sqref>
                  </c15:fullRef>
                </c:ext>
              </c:extLst>
              <c:f>('Transportsystemer - Resultater'!$C$44,'Transportsystemer - Resultater'!$E$44,'Transportsystemer - Resultater'!$G$44,'Transportsystemer - Resultater'!$I$44,'Transportsystemer - Resultater'!$K$44,'Transportsystemer - Resultater'!$M$44,'Transportsystemer - Resultater'!$O$44)</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FE90-46CD-93B3-F2EB85AA6308}"/>
            </c:ext>
          </c:extLst>
        </c:ser>
        <c:ser>
          <c:idx val="5"/>
          <c:order val="5"/>
          <c:tx>
            <c:strRef>
              <c:f>'Transportsystemer - Resultater'!$A$45</c:f>
              <c:strCache>
                <c:ptCount val="1"/>
                <c:pt idx="0">
                  <c:v>Støpejern</c:v>
                </c:pt>
              </c:strCache>
            </c:strRef>
          </c:tx>
          <c:spPr>
            <a:solidFill>
              <a:schemeClr val="accent6"/>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Resultater'!$B$45:$O$45</c15:sqref>
                  </c15:fullRef>
                </c:ext>
              </c:extLst>
              <c:f>('Transportsystemer - Resultater'!$C$45,'Transportsystemer - Resultater'!$E$45,'Transportsystemer - Resultater'!$G$45,'Transportsystemer - Resultater'!$I$45,'Transportsystemer - Resultater'!$K$45,'Transportsystemer - Resultater'!$M$45,'Transportsystemer - Resultater'!$O$45)</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FE90-46CD-93B3-F2EB85AA6308}"/>
            </c:ext>
          </c:extLst>
        </c:ser>
        <c:ser>
          <c:idx val="6"/>
          <c:order val="6"/>
          <c:tx>
            <c:strRef>
              <c:f>'Transportsystemer - Resultater'!$A$46</c:f>
              <c:strCache>
                <c:ptCount val="1"/>
                <c:pt idx="0">
                  <c:v>Rustfritt stål</c:v>
                </c:pt>
              </c:strCache>
            </c:strRef>
          </c:tx>
          <c:spPr>
            <a:solidFill>
              <a:schemeClr val="accent1">
                <a:lumMod val="60000"/>
              </a:schemeClr>
            </a:solidFill>
            <a:ln>
              <a:noFill/>
            </a:ln>
            <a:effectLst/>
            <a:sp3d/>
          </c:spPr>
          <c:invertIfNegative val="0"/>
          <c:cat>
            <c:numRef>
              <c:extLst>
                <c:ext xmlns:c15="http://schemas.microsoft.com/office/drawing/2012/chart" uri="{02D57815-91ED-43cb-92C2-25804820EDAC}">
                  <c15:fullRef>
                    <c15:sqref>'Transportsystemer - Resultater'!$B$38:$O$38</c15:sqref>
                  </c15:fullRef>
                </c:ext>
              </c:extLst>
              <c:f>('Transportsystemer - Resultater'!$C$38,'Transportsystemer - Resultater'!$E$38,'Transportsystemer - Resultater'!$G$38,'Transportsystemer - Resultater'!$I$38,'Transportsystemer - Resultater'!$K$38,'Transportsystemer - Resultater'!$M$38,'Transportsystemer - Resultater'!$O$38)</c:f>
              <c:numCache>
                <c:formatCode>General</c:formatCode>
                <c:ptCount val="7"/>
              </c:numCache>
            </c:numRef>
          </c:cat>
          <c:val>
            <c:numRef>
              <c:extLst>
                <c:ext xmlns:c15="http://schemas.microsoft.com/office/drawing/2012/chart" uri="{02D57815-91ED-43cb-92C2-25804820EDAC}">
                  <c15:fullRef>
                    <c15:sqref>'Transportsystemer - Resultater'!$B$46:$O$46</c15:sqref>
                  </c15:fullRef>
                </c:ext>
              </c:extLst>
              <c:f>('Transportsystemer - Resultater'!$C$46,'Transportsystemer - Resultater'!$E$46,'Transportsystemer - Resultater'!$G$46,'Transportsystemer - Resultater'!$I$46,'Transportsystemer - Resultater'!$K$46,'Transportsystemer - Resultater'!$M$46,'Transportsystemer - Resultater'!$O$46)</c:f>
              <c:numCache>
                <c:formatCode>_(* #,##0_);_(* \(#,##0\);_(*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40A6-4F84-AD34-562D2875FD86}"/>
            </c:ext>
          </c:extLst>
        </c:ser>
        <c:dLbls>
          <c:showLegendKey val="0"/>
          <c:showVal val="0"/>
          <c:showCatName val="0"/>
          <c:showSerName val="0"/>
          <c:showPercent val="0"/>
          <c:showBubbleSize val="0"/>
        </c:dLbls>
        <c:gapWidth val="150"/>
        <c:shape val="box"/>
        <c:axId val="1664647016"/>
        <c:axId val="1664643408"/>
        <c:axId val="1661954112"/>
      </c:bar3DChart>
      <c:catAx>
        <c:axId val="16646470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auto val="1"/>
        <c:lblAlgn val="ctr"/>
        <c:lblOffset val="100"/>
        <c:noMultiLvlLbl val="0"/>
      </c:catAx>
      <c:valAx>
        <c:axId val="166464340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64647016"/>
        <c:crosses val="autoZero"/>
        <c:crossBetween val="between"/>
      </c:valAx>
      <c:serAx>
        <c:axId val="1661954112"/>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ser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'Avløpsbehandling-Resultater'!$A$118</c:f>
              <c:strCache>
                <c:ptCount val="1"/>
                <c:pt idx="0">
                  <c:v>Nitrogenfjerning ved anlegget</c:v>
                </c:pt>
              </c:strCache>
            </c:strRef>
          </c:tx>
          <c:spPr>
            <a:solidFill>
              <a:schemeClr val="accent1"/>
            </a:solidFill>
            <a:ln>
              <a:noFill/>
            </a:ln>
            <a:effectLst/>
          </c:spPr>
          <c:invertIfNegative val="0"/>
          <c:cat>
            <c:strRef>
              <c:f>'Avløpsbehandling-Resultater'!$B$117:$D$117</c:f>
              <c:strCache>
                <c:ptCount val="3"/>
                <c:pt idx="0">
                  <c:v>CH4</c:v>
                </c:pt>
                <c:pt idx="1">
                  <c:v>N2O</c:v>
                </c:pt>
                <c:pt idx="2">
                  <c:v>kg CO₂ Ekv. </c:v>
                </c:pt>
              </c:strCache>
            </c:strRef>
          </c:cat>
          <c:val>
            <c:numRef>
              <c:f>'Avløpsbehandling-Resultater'!$B$118:$D$118</c:f>
              <c:numCache>
                <c:formatCode>#,##0</c:formatCode>
                <c:ptCount val="3"/>
                <c:pt idx="1">
                  <c:v>0</c:v>
                </c:pt>
                <c:pt idx="2">
                  <c:v>0</c:v>
                </c:pt>
              </c:numCache>
            </c:numRef>
          </c:val>
          <c:extLst>
            <c:ext xmlns:c16="http://schemas.microsoft.com/office/drawing/2014/chart" uri="{C3380CC4-5D6E-409C-BE32-E72D297353CC}">
              <c16:uniqueId val="{00000000-D2D1-43B3-B3F0-B5C5CD3DAEFF}"/>
            </c:ext>
          </c:extLst>
        </c:ser>
        <c:ser>
          <c:idx val="1"/>
          <c:order val="1"/>
          <c:tx>
            <c:strRef>
              <c:f>'Avløpsbehandling-Resultater'!#REF!</c:f>
              <c:strCache>
                <c:ptCount val="1"/>
                <c:pt idx="0">
                  <c:v>Nitrogenutslipp til resipient</c:v>
                </c:pt>
              </c:strCache>
            </c:strRef>
          </c:tx>
          <c:spPr>
            <a:solidFill>
              <a:schemeClr val="accent2"/>
            </a:solidFill>
            <a:ln>
              <a:noFill/>
            </a:ln>
            <a:effectLst/>
          </c:spPr>
          <c:invertIfNegative val="0"/>
          <c:cat>
            <c:strRef>
              <c:f>'Avløpsbehandling-Resultater'!$B$117:$D$117</c:f>
              <c:strCache>
                <c:ptCount val="3"/>
                <c:pt idx="0">
                  <c:v>CH4</c:v>
                </c:pt>
                <c:pt idx="1">
                  <c:v>N2O</c:v>
                </c:pt>
                <c:pt idx="2">
                  <c:v>kg CO₂ Ekv. </c:v>
                </c:pt>
              </c:strCache>
            </c:strRef>
          </c:cat>
          <c:val>
            <c:numRef>
              <c:f>'Avløpsbehandling-Resultater'!#REF!</c:f>
            </c:numRef>
          </c:val>
          <c:extLst>
            <c:ext xmlns:c16="http://schemas.microsoft.com/office/drawing/2014/chart" uri="{C3380CC4-5D6E-409C-BE32-E72D297353CC}">
              <c16:uniqueId val="{00000001-D2D1-43B3-B3F0-B5C5CD3DAEFF}"/>
            </c:ext>
          </c:extLst>
        </c:ser>
        <c:ser>
          <c:idx val="2"/>
          <c:order val="2"/>
          <c:tx>
            <c:strRef>
              <c:f>'Avløpsbehandling-Resultater'!#REF!</c:f>
              <c:strCache>
                <c:ptCount val="1"/>
                <c:pt idx="0">
                  <c:v>Direkteutslipp av avløp </c:v>
                </c:pt>
              </c:strCache>
            </c:strRef>
          </c:tx>
          <c:spPr>
            <a:solidFill>
              <a:schemeClr val="accent3"/>
            </a:solidFill>
            <a:ln>
              <a:noFill/>
            </a:ln>
            <a:effectLst/>
          </c:spPr>
          <c:invertIfNegative val="0"/>
          <c:cat>
            <c:strRef>
              <c:f>'Avløpsbehandling-Resultater'!$B$117:$D$117</c:f>
              <c:strCache>
                <c:ptCount val="3"/>
                <c:pt idx="0">
                  <c:v>CH4</c:v>
                </c:pt>
                <c:pt idx="1">
                  <c:v>N2O</c:v>
                </c:pt>
                <c:pt idx="2">
                  <c:v>kg CO₂ Ekv. </c:v>
                </c:pt>
              </c:strCache>
            </c:strRef>
          </c:cat>
          <c:val>
            <c:numRef>
              <c:f>'Avløpsbehandling-Resultater'!#REF!</c:f>
            </c:numRef>
          </c:val>
          <c:extLst>
            <c:ext xmlns:c16="http://schemas.microsoft.com/office/drawing/2014/chart" uri="{C3380CC4-5D6E-409C-BE32-E72D297353CC}">
              <c16:uniqueId val="{00000002-D2D1-43B3-B3F0-B5C5CD3DAEFF}"/>
            </c:ext>
          </c:extLst>
        </c:ser>
        <c:ser>
          <c:idx val="3"/>
          <c:order val="3"/>
          <c:tx>
            <c:strRef>
              <c:f>'Avløpsbehandling-Resultater'!#REF!</c:f>
              <c:strCache>
                <c:ptCount val="1"/>
                <c:pt idx="0">
                  <c:v>Metangass fra septik og tettetanker</c:v>
                </c:pt>
              </c:strCache>
            </c:strRef>
          </c:tx>
          <c:spPr>
            <a:solidFill>
              <a:schemeClr val="accent4"/>
            </a:solidFill>
            <a:ln>
              <a:noFill/>
            </a:ln>
            <a:effectLst/>
          </c:spPr>
          <c:invertIfNegative val="0"/>
          <c:cat>
            <c:strRef>
              <c:f>'Avløpsbehandling-Resultater'!$B$117:$D$117</c:f>
              <c:strCache>
                <c:ptCount val="3"/>
                <c:pt idx="0">
                  <c:v>CH4</c:v>
                </c:pt>
                <c:pt idx="1">
                  <c:v>N2O</c:v>
                </c:pt>
                <c:pt idx="2">
                  <c:v>kg CO₂ Ekv. </c:v>
                </c:pt>
              </c:strCache>
            </c:strRef>
          </c:cat>
          <c:val>
            <c:numRef>
              <c:f>'Avløpsbehandling-Resultater'!#REF!</c:f>
            </c:numRef>
          </c:val>
          <c:extLst>
            <c:ext xmlns:c16="http://schemas.microsoft.com/office/drawing/2014/chart" uri="{C3380CC4-5D6E-409C-BE32-E72D297353CC}">
              <c16:uniqueId val="{00000003-D2D1-43B3-B3F0-B5C5CD3DAEFF}"/>
            </c:ext>
          </c:extLst>
        </c:ser>
        <c:ser>
          <c:idx val="4"/>
          <c:order val="4"/>
          <c:tx>
            <c:strRef>
              <c:f>'Avløpsbehandling-Resultater'!$A$119</c:f>
              <c:strCache>
                <c:ptCount val="1"/>
                <c:pt idx="0">
                  <c:v>Biogassproduksjon</c:v>
                </c:pt>
              </c:strCache>
            </c:strRef>
          </c:tx>
          <c:spPr>
            <a:solidFill>
              <a:schemeClr val="accent5"/>
            </a:solidFill>
            <a:ln>
              <a:noFill/>
            </a:ln>
            <a:effectLst/>
          </c:spPr>
          <c:invertIfNegative val="0"/>
          <c:cat>
            <c:strRef>
              <c:f>'Avløpsbehandling-Resultater'!$B$117:$D$117</c:f>
              <c:strCache>
                <c:ptCount val="3"/>
                <c:pt idx="0">
                  <c:v>CH4</c:v>
                </c:pt>
                <c:pt idx="1">
                  <c:v>N2O</c:v>
                </c:pt>
                <c:pt idx="2">
                  <c:v>kg CO₂ Ekv. </c:v>
                </c:pt>
              </c:strCache>
            </c:strRef>
          </c:cat>
          <c:val>
            <c:numRef>
              <c:f>'Avløpsbehandling-Resultater'!$B$119:$D$119</c:f>
              <c:numCache>
                <c:formatCode>#,##0.00</c:formatCode>
                <c:ptCount val="3"/>
                <c:pt idx="2" formatCode="#,##0">
                  <c:v>0</c:v>
                </c:pt>
              </c:numCache>
            </c:numRef>
          </c:val>
          <c:extLst>
            <c:ext xmlns:c16="http://schemas.microsoft.com/office/drawing/2014/chart" uri="{C3380CC4-5D6E-409C-BE32-E72D297353CC}">
              <c16:uniqueId val="{00000004-D2D1-43B3-B3F0-B5C5CD3DAEFF}"/>
            </c:ext>
          </c:extLst>
        </c:ser>
        <c:ser>
          <c:idx val="5"/>
          <c:order val="5"/>
          <c:tx>
            <c:strRef>
              <c:f>'Avløpsbehandling-Resultater'!$A$120</c:f>
              <c:strCache>
                <c:ptCount val="1"/>
                <c:pt idx="0">
                  <c:v>Direkte utslipp av rågass - før oppgradering</c:v>
                </c:pt>
              </c:strCache>
            </c:strRef>
          </c:tx>
          <c:spPr>
            <a:solidFill>
              <a:schemeClr val="accent6"/>
            </a:solidFill>
            <a:ln>
              <a:noFill/>
            </a:ln>
            <a:effectLst/>
          </c:spPr>
          <c:invertIfNegative val="0"/>
          <c:cat>
            <c:strRef>
              <c:f>'Avløpsbehandling-Resultater'!$B$117:$D$117</c:f>
              <c:strCache>
                <c:ptCount val="3"/>
                <c:pt idx="0">
                  <c:v>CH4</c:v>
                </c:pt>
                <c:pt idx="1">
                  <c:v>N2O</c:v>
                </c:pt>
                <c:pt idx="2">
                  <c:v>kg CO₂ Ekv. </c:v>
                </c:pt>
              </c:strCache>
            </c:strRef>
          </c:cat>
          <c:val>
            <c:numRef>
              <c:f>'Avløpsbehandling-Resultater'!$B$120:$D$120</c:f>
              <c:numCache>
                <c:formatCode>#,##0</c:formatCode>
                <c:ptCount val="3"/>
                <c:pt idx="0">
                  <c:v>0</c:v>
                </c:pt>
                <c:pt idx="2">
                  <c:v>0</c:v>
                </c:pt>
              </c:numCache>
            </c:numRef>
          </c:val>
          <c:extLst>
            <c:ext xmlns:c16="http://schemas.microsoft.com/office/drawing/2014/chart" uri="{C3380CC4-5D6E-409C-BE32-E72D297353CC}">
              <c16:uniqueId val="{00000005-D2D1-43B3-B3F0-B5C5CD3DAEFF}"/>
            </c:ext>
          </c:extLst>
        </c:ser>
        <c:dLbls>
          <c:showLegendKey val="0"/>
          <c:showVal val="0"/>
          <c:showCatName val="0"/>
          <c:showSerName val="0"/>
          <c:showPercent val="0"/>
          <c:showBubbleSize val="0"/>
        </c:dLbls>
        <c:gapWidth val="150"/>
        <c:overlap val="100"/>
        <c:axId val="974553760"/>
        <c:axId val="974561632"/>
      </c:barChart>
      <c:catAx>
        <c:axId val="974553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74561632"/>
        <c:crosses val="autoZero"/>
        <c:auto val="1"/>
        <c:lblAlgn val="ctr"/>
        <c:lblOffset val="100"/>
        <c:noMultiLvlLbl val="0"/>
      </c:catAx>
      <c:valAx>
        <c:axId val="9745616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74553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barChart>
        <c:barDir val="col"/>
        <c:grouping val="clustered"/>
        <c:varyColors val="0"/>
        <c:ser>
          <c:idx val="2"/>
          <c:order val="2"/>
          <c:tx>
            <c:strRef>
              <c:f>'Avløpsbehandling-Resultater'!$D$117</c:f>
              <c:strCache>
                <c:ptCount val="1"/>
                <c:pt idx="0">
                  <c:v>kg CO₂ Ekv. </c:v>
                </c:pt>
              </c:strCache>
            </c:strRef>
          </c:tx>
          <c:spPr>
            <a:solidFill>
              <a:schemeClr val="accent3"/>
            </a:solidFill>
            <a:ln>
              <a:noFill/>
            </a:ln>
            <a:effectLst/>
          </c:spPr>
          <c:invertIfNegative val="0"/>
          <c:cat>
            <c:strRef>
              <c:f>'Avløpsbehandling-Resultater'!$A$118:$A$120</c:f>
              <c:strCache>
                <c:ptCount val="3"/>
                <c:pt idx="0">
                  <c:v>Nitrogenfjerning ved anlegget</c:v>
                </c:pt>
                <c:pt idx="1">
                  <c:v>Biogassproduksjon</c:v>
                </c:pt>
                <c:pt idx="2">
                  <c:v>Direkte utslipp av rågass - før oppgradering</c:v>
                </c:pt>
              </c:strCache>
            </c:strRef>
          </c:cat>
          <c:val>
            <c:numRef>
              <c:f>'Avløpsbehandling-Resultater'!$D$118:$D$120</c:f>
              <c:numCache>
                <c:formatCode>#,##0</c:formatCode>
                <c:ptCount val="3"/>
                <c:pt idx="0">
                  <c:v>0</c:v>
                </c:pt>
                <c:pt idx="1">
                  <c:v>0</c:v>
                </c:pt>
                <c:pt idx="2">
                  <c:v>0</c:v>
                </c:pt>
              </c:numCache>
            </c:numRef>
          </c:val>
          <c:extLst>
            <c:ext xmlns:c16="http://schemas.microsoft.com/office/drawing/2014/chart" uri="{C3380CC4-5D6E-409C-BE32-E72D297353CC}">
              <c16:uniqueId val="{00000000-D755-4D39-8B3A-A952B708460E}"/>
            </c:ext>
          </c:extLst>
        </c:ser>
        <c:dLbls>
          <c:showLegendKey val="0"/>
          <c:showVal val="0"/>
          <c:showCatName val="0"/>
          <c:showSerName val="0"/>
          <c:showPercent val="0"/>
          <c:showBubbleSize val="0"/>
        </c:dLbls>
        <c:gapWidth val="219"/>
        <c:overlap val="-27"/>
        <c:axId val="770082928"/>
        <c:axId val="770082272"/>
        <c:extLst>
          <c:ext xmlns:c15="http://schemas.microsoft.com/office/drawing/2012/chart" uri="{02D57815-91ED-43cb-92C2-25804820EDAC}">
            <c15:filteredBarSeries>
              <c15:ser>
                <c:idx val="0"/>
                <c:order val="0"/>
                <c:tx>
                  <c:strRef>
                    <c:extLst>
                      <c:ext uri="{02D57815-91ED-43cb-92C2-25804820EDAC}">
                        <c15:formulaRef>
                          <c15:sqref>'Avløpsbehandling-Resultater'!$B$117</c15:sqref>
                        </c15:formulaRef>
                      </c:ext>
                    </c:extLst>
                    <c:strCache>
                      <c:ptCount val="1"/>
                      <c:pt idx="0">
                        <c:v>CH4</c:v>
                      </c:pt>
                    </c:strCache>
                  </c:strRef>
                </c:tx>
                <c:spPr>
                  <a:solidFill>
                    <a:schemeClr val="accent1"/>
                  </a:solidFill>
                  <a:ln>
                    <a:noFill/>
                  </a:ln>
                  <a:effectLst/>
                </c:spPr>
                <c:invertIfNegative val="0"/>
                <c:cat>
                  <c:strRef>
                    <c:extLst>
                      <c:ext uri="{02D57815-91ED-43cb-92C2-25804820EDAC}">
                        <c15:formulaRef>
                          <c15:sqref>'Avløpsbehandling-Resultater'!$A$118:$A$120</c15:sqref>
                        </c15:formulaRef>
                      </c:ext>
                    </c:extLst>
                    <c:strCache>
                      <c:ptCount val="3"/>
                      <c:pt idx="0">
                        <c:v>Nitrogenfjerning ved anlegget</c:v>
                      </c:pt>
                      <c:pt idx="1">
                        <c:v>Biogassproduksjon</c:v>
                      </c:pt>
                      <c:pt idx="2">
                        <c:v>Direkte utslipp av rågass - før oppgradering</c:v>
                      </c:pt>
                    </c:strCache>
                  </c:strRef>
                </c:cat>
                <c:val>
                  <c:numRef>
                    <c:extLst>
                      <c:ext uri="{02D57815-91ED-43cb-92C2-25804820EDAC}">
                        <c15:formulaRef>
                          <c15:sqref>'Avløpsbehandling-Resultater'!$B$118:$B$120</c15:sqref>
                        </c15:formulaRef>
                      </c:ext>
                    </c:extLst>
                    <c:numCache>
                      <c:formatCode>#\ ##0.0</c:formatCode>
                      <c:ptCount val="3"/>
                      <c:pt idx="2" formatCode="#,##0">
                        <c:v>0</c:v>
                      </c:pt>
                    </c:numCache>
                  </c:numRef>
                </c:val>
                <c:extLst>
                  <c:ext xmlns:c16="http://schemas.microsoft.com/office/drawing/2014/chart" uri="{C3380CC4-5D6E-409C-BE32-E72D297353CC}">
                    <c16:uniqueId val="{00000001-D755-4D39-8B3A-A952B708460E}"/>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'Avløpsbehandling-Resultater'!$C$117</c15:sqref>
                        </c15:formulaRef>
                      </c:ext>
                    </c:extLst>
                    <c:strCache>
                      <c:ptCount val="1"/>
                      <c:pt idx="0">
                        <c:v>N2O</c:v>
                      </c:pt>
                    </c:strCache>
                  </c:strRef>
                </c:tx>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'Avløpsbehandling-Resultater'!$A$118:$A$120</c15:sqref>
                        </c15:formulaRef>
                      </c:ext>
                    </c:extLst>
                    <c:strCache>
                      <c:ptCount val="3"/>
                      <c:pt idx="0">
                        <c:v>Nitrogenfjerning ved anlegget</c:v>
                      </c:pt>
                      <c:pt idx="1">
                        <c:v>Biogassproduksjon</c:v>
                      </c:pt>
                      <c:pt idx="2">
                        <c:v>Direkte utslipp av rågass - før oppgradering</c:v>
                      </c:pt>
                    </c:strCache>
                  </c:strRef>
                </c:cat>
                <c:val>
                  <c:numRef>
                    <c:extLst xmlns:c15="http://schemas.microsoft.com/office/drawing/2012/chart">
                      <c:ext xmlns:c15="http://schemas.microsoft.com/office/drawing/2012/chart" uri="{02D57815-91ED-43cb-92C2-25804820EDAC}">
                        <c15:formulaRef>
                          <c15:sqref>'Avløpsbehandling-Resultater'!$C$118:$C$120</c15:sqref>
                        </c15:formulaRef>
                      </c:ext>
                    </c:extLst>
                    <c:numCache>
                      <c:formatCode>#,##0.00</c:formatCode>
                      <c:ptCount val="3"/>
                      <c:pt idx="0" formatCode="#,##0">
                        <c:v>0</c:v>
                      </c:pt>
                    </c:numCache>
                  </c:numRef>
                </c:val>
                <c:extLst xmlns:c15="http://schemas.microsoft.com/office/drawing/2012/chart">
                  <c:ext xmlns:c16="http://schemas.microsoft.com/office/drawing/2014/chart" uri="{C3380CC4-5D6E-409C-BE32-E72D297353CC}">
                    <c16:uniqueId val="{00000002-D755-4D39-8B3A-A952B708460E}"/>
                  </c:ext>
                </c:extLst>
              </c15:ser>
            </c15:filteredBarSeries>
          </c:ext>
        </c:extLst>
      </c:barChart>
      <c:catAx>
        <c:axId val="770082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770082272"/>
        <c:crosses val="autoZero"/>
        <c:auto val="1"/>
        <c:lblAlgn val="ctr"/>
        <c:lblOffset val="100"/>
        <c:noMultiLvlLbl val="0"/>
      </c:catAx>
      <c:valAx>
        <c:axId val="7700822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770082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Totalt</a:t>
            </a:r>
            <a:r>
              <a:rPr lang="nb-NO" baseline="0"/>
              <a:t> klimafotavtrykk for Vann og Avløp</a:t>
            </a:r>
            <a:endParaRPr lang="nb-NO"/>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barChart>
        <c:barDir val="col"/>
        <c:grouping val="stacked"/>
        <c:varyColors val="0"/>
        <c:ser>
          <c:idx val="0"/>
          <c:order val="0"/>
          <c:tx>
            <c:v>Drift og vedlikehold</c:v>
          </c:tx>
          <c:spPr>
            <a:solidFill>
              <a:schemeClr val="accent1"/>
            </a:solidFill>
            <a:ln>
              <a:noFill/>
            </a:ln>
            <a:effectLst/>
          </c:spPr>
          <c:invertIfNegative val="0"/>
          <c:cat>
            <c:strRef>
              <c:f>'Sammendrag klimaregnskap'!$C$4:$F$4</c:f>
              <c:strCache>
                <c:ptCount val="4"/>
                <c:pt idx="0">
                  <c:v>Produksjon
av vann</c:v>
                </c:pt>
                <c:pt idx="1">
                  <c:v>Avløpsrensing
og slam</c:v>
                </c:pt>
                <c:pt idx="2">
                  <c:v>Distribusjon
av vann</c:v>
                </c:pt>
                <c:pt idx="3">
                  <c:v>Avløpstransport</c:v>
                </c:pt>
              </c:strCache>
            </c:strRef>
          </c:cat>
          <c:val>
            <c:numRef>
              <c:f>'Sammendrag klimaregnskap'!$C$14:$F$14</c:f>
              <c:numCache>
                <c:formatCode>#,##0</c:formatCode>
                <c:ptCount val="4"/>
                <c:pt idx="0">
                  <c:v>0</c:v>
                </c:pt>
                <c:pt idx="1">
                  <c:v>0</c:v>
                </c:pt>
                <c:pt idx="2">
                  <c:v>0</c:v>
                </c:pt>
                <c:pt idx="3">
                  <c:v>0</c:v>
                </c:pt>
              </c:numCache>
            </c:numRef>
          </c:val>
          <c:extLst>
            <c:ext xmlns:c16="http://schemas.microsoft.com/office/drawing/2014/chart" uri="{C3380CC4-5D6E-409C-BE32-E72D297353CC}">
              <c16:uniqueId val="{00000002-9693-4CC6-BAF5-725C306DA2CE}"/>
            </c:ext>
          </c:extLst>
        </c:ser>
        <c:ser>
          <c:idx val="1"/>
          <c:order val="1"/>
          <c:tx>
            <c:v>Ledningsfornyelse og investeringer</c:v>
          </c:tx>
          <c:spPr>
            <a:solidFill>
              <a:schemeClr val="accent2"/>
            </a:solidFill>
            <a:ln>
              <a:noFill/>
            </a:ln>
            <a:effectLst/>
          </c:spPr>
          <c:invertIfNegative val="0"/>
          <c:cat>
            <c:strRef>
              <c:f>'Sammendrag klimaregnskap'!$C$4:$F$4</c:f>
              <c:strCache>
                <c:ptCount val="4"/>
                <c:pt idx="0">
                  <c:v>Produksjon
av vann</c:v>
                </c:pt>
                <c:pt idx="1">
                  <c:v>Avløpsrensing
og slam</c:v>
                </c:pt>
                <c:pt idx="2">
                  <c:v>Distribusjon
av vann</c:v>
                </c:pt>
                <c:pt idx="3">
                  <c:v>Avløpstransport</c:v>
                </c:pt>
              </c:strCache>
            </c:strRef>
          </c:cat>
          <c:val>
            <c:numRef>
              <c:f>'Sammendrag klimaregnskap'!#REF!</c:f>
              <c:numCache>
                <c:formatCode>General</c:formatCode>
                <c:ptCount val="1"/>
                <c:pt idx="0">
                  <c:v>1</c:v>
                </c:pt>
              </c:numCache>
            </c:numRef>
          </c:val>
          <c:extLst>
            <c:ext xmlns:c16="http://schemas.microsoft.com/office/drawing/2014/chart" uri="{C3380CC4-5D6E-409C-BE32-E72D297353CC}">
              <c16:uniqueId val="{00000003-9693-4CC6-BAF5-725C306DA2CE}"/>
            </c:ext>
          </c:extLst>
        </c:ser>
        <c:dLbls>
          <c:showLegendKey val="0"/>
          <c:showVal val="0"/>
          <c:showCatName val="0"/>
          <c:showSerName val="0"/>
          <c:showPercent val="0"/>
          <c:showBubbleSize val="0"/>
        </c:dLbls>
        <c:gapWidth val="219"/>
        <c:overlap val="100"/>
        <c:axId val="2084759055"/>
        <c:axId val="1858243231"/>
      </c:barChart>
      <c:catAx>
        <c:axId val="208475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858243231"/>
        <c:crosses val="autoZero"/>
        <c:auto val="1"/>
        <c:lblAlgn val="ctr"/>
        <c:lblOffset val="100"/>
        <c:noMultiLvlLbl val="0"/>
      </c:catAx>
      <c:valAx>
        <c:axId val="18582432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 CO2 ekv./år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08475905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b="1"/>
              <a:t>Klimaregnskap for investeringer</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8.3646891540091042E-2"/>
          <c:y val="0.145866612589728"/>
          <c:w val="0.75010383745142561"/>
          <c:h val="0.71109010095547787"/>
        </c:manualLayout>
      </c:layout>
      <c:barChart>
        <c:barDir val="col"/>
        <c:grouping val="stacked"/>
        <c:varyColors val="0"/>
        <c:ser>
          <c:idx val="0"/>
          <c:order val="0"/>
          <c:tx>
            <c:strRef>
              <c:f>'Sammendrag klimaregnskap'!$A$64</c:f>
              <c:strCache>
                <c:ptCount val="1"/>
                <c:pt idx="0">
                  <c:v>Entreprisekostnader i bygge- og anleggsprosjekter</c:v>
                </c:pt>
              </c:strCache>
            </c:strRef>
          </c:tx>
          <c:spPr>
            <a:solidFill>
              <a:schemeClr val="accent1"/>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klimaregnskap'!$C$64:$F$64</c:f>
              <c:numCache>
                <c:formatCode>#,##0</c:formatCode>
                <c:ptCount val="4"/>
                <c:pt idx="0" formatCode="_(* #,##0_);_(* \(#,##0\);_(* &quot;-&quot;_);_(@_)">
                  <c:v>0</c:v>
                </c:pt>
                <c:pt idx="1">
                  <c:v>0</c:v>
                </c:pt>
                <c:pt idx="2" formatCode="_(* #,##0_);_(* \(#,##0\);_(* &quot;-&quot;_);_(@_)">
                  <c:v>0</c:v>
                </c:pt>
                <c:pt idx="3">
                  <c:v>0</c:v>
                </c:pt>
              </c:numCache>
            </c:numRef>
          </c:val>
          <c:extLst>
            <c:ext xmlns:c16="http://schemas.microsoft.com/office/drawing/2014/chart" uri="{C3380CC4-5D6E-409C-BE32-E72D297353CC}">
              <c16:uniqueId val="{00000000-3109-4536-BE98-7D836BB9030B}"/>
            </c:ext>
          </c:extLst>
        </c:ser>
        <c:dLbls>
          <c:showLegendKey val="0"/>
          <c:showVal val="0"/>
          <c:showCatName val="0"/>
          <c:showSerName val="0"/>
          <c:showPercent val="0"/>
          <c:showBubbleSize val="0"/>
        </c:dLbls>
        <c:gapWidth val="150"/>
        <c:overlap val="100"/>
        <c:axId val="1433051152"/>
        <c:axId val="1433043280"/>
      </c:barChart>
      <c:catAx>
        <c:axId val="14330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43280"/>
        <c:crosses val="autoZero"/>
        <c:auto val="1"/>
        <c:lblAlgn val="ctr"/>
        <c:lblOffset val="100"/>
        <c:noMultiLvlLbl val="0"/>
      </c:catAx>
      <c:valAx>
        <c:axId val="1433043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 CO</a:t>
                </a:r>
                <a:r>
                  <a:rPr lang="nb-NO" baseline="-25000"/>
                  <a:t>2</a:t>
                </a:r>
                <a:r>
                  <a:rPr lang="nb-NO"/>
                  <a:t> ekv./år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51152"/>
        <c:crosses val="autoZero"/>
        <c:crossBetween val="between"/>
      </c:valAx>
      <c:spPr>
        <a:solidFill>
          <a:schemeClr val="bg1">
            <a:lumMod val="95000"/>
          </a:schemeClr>
        </a:solidFill>
        <a:ln>
          <a:noFill/>
        </a:ln>
        <a:effectLst/>
      </c:spPr>
    </c:plotArea>
    <c:legend>
      <c:legendPos val="r"/>
      <c:layout>
        <c:manualLayout>
          <c:xMode val="edge"/>
          <c:yMode val="edge"/>
          <c:x val="0.83805795593801569"/>
          <c:y val="0.22415578035528774"/>
          <c:w val="0.15044074830820051"/>
          <c:h val="0.70179626954634677"/>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accent1">
        <a:lumMod val="40000"/>
        <a:lumOff val="60000"/>
      </a:schemeClr>
    </a:solidFill>
    <a:ln w="9525" cap="flat" cmpd="sng" algn="ctr">
      <a:noFill/>
      <a:round/>
    </a:ln>
    <a:effectLst/>
  </c:spPr>
  <c:txPr>
    <a:bodyPr/>
    <a:lstStyle/>
    <a:p>
      <a:pPr>
        <a:defRPr/>
      </a:pPr>
      <a:endParaRPr lang="nb-N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nb-NO"/>
        </a:p>
      </c:txPr>
    </c:title>
    <c:autoTitleDeleted val="0"/>
    <c:plotArea>
      <c:layout/>
      <c:barChart>
        <c:barDir val="col"/>
        <c:grouping val="clustered"/>
        <c:varyColors val="0"/>
        <c:ser>
          <c:idx val="0"/>
          <c:order val="0"/>
          <c:tx>
            <c:strRef>
              <c:f>'Vannbehandling - Resultater'!$K$2</c:f>
              <c:strCache>
                <c:ptCount val="1"/>
                <c:pt idx="0">
                  <c:v>kg CO₂ ekv./år</c:v>
                </c:pt>
              </c:strCache>
            </c:strRef>
          </c:tx>
          <c:spPr>
            <a:solidFill>
              <a:schemeClr val="accent1"/>
            </a:solidFill>
            <a:ln>
              <a:noFill/>
            </a:ln>
            <a:effectLst/>
          </c:spPr>
          <c:invertIfNegative val="0"/>
          <c:cat>
            <c:strRef>
              <c:f>'Vannbehandling - Resultater'!$J$3:$J$9</c:f>
              <c:strCache>
                <c:ptCount val="7"/>
                <c:pt idx="0">
                  <c:v>Energi</c:v>
                </c:pt>
                <c:pt idx="1">
                  <c:v>Filtermasser</c:v>
                </c:pt>
                <c:pt idx="2">
                  <c:v>Kjemikalier - felling</c:v>
                </c:pt>
                <c:pt idx="3">
                  <c:v>Karbonkilder</c:v>
                </c:pt>
                <c:pt idx="4">
                  <c:v>Kjemikalier – pH-justering/korrosjonskontroll</c:v>
                </c:pt>
                <c:pt idx="5">
                  <c:v>Andre kjemikalier og forbruksvarer</c:v>
                </c:pt>
                <c:pt idx="6">
                  <c:v>Transport</c:v>
                </c:pt>
              </c:strCache>
            </c:strRef>
          </c:cat>
          <c:val>
            <c:numRef>
              <c:f>'Vannbehandling - Resultater'!$K$3:$K$9</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4D55-4770-86A7-391E4CF37E06}"/>
            </c:ext>
          </c:extLst>
        </c:ser>
        <c:dLbls>
          <c:showLegendKey val="0"/>
          <c:showVal val="0"/>
          <c:showCatName val="0"/>
          <c:showSerName val="0"/>
          <c:showPercent val="0"/>
          <c:showBubbleSize val="0"/>
        </c:dLbls>
        <c:gapWidth val="219"/>
        <c:overlap val="-27"/>
        <c:axId val="656369800"/>
        <c:axId val="656370128"/>
      </c:barChart>
      <c:catAx>
        <c:axId val="65636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70128"/>
        <c:crosses val="autoZero"/>
        <c:auto val="1"/>
        <c:lblAlgn val="ctr"/>
        <c:lblOffset val="100"/>
        <c:noMultiLvlLbl val="0"/>
      </c:catAx>
      <c:valAx>
        <c:axId val="656370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6980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845394437004368"/>
          <c:y val="0.10945265056399063"/>
          <c:w val="0.73602227815913035"/>
          <c:h val="0.23061132870190093"/>
        </c:manualLayout>
      </c:layout>
      <c:barChart>
        <c:barDir val="bar"/>
        <c:grouping val="percentStacked"/>
        <c:varyColors val="0"/>
        <c:ser>
          <c:idx val="0"/>
          <c:order val="0"/>
          <c:tx>
            <c:strRef>
              <c:f>'Vannbehandling - Resultater'!$A$3</c:f>
              <c:strCache>
                <c:ptCount val="1"/>
                <c:pt idx="0">
                  <c:v>Elektrisitet, Norsk forbruksmiks</c:v>
                </c:pt>
              </c:strCache>
            </c:strRef>
          </c:tx>
          <c:spPr>
            <a:solidFill>
              <a:schemeClr val="accent1"/>
            </a:solidFill>
            <a:ln>
              <a:noFill/>
            </a:ln>
            <a:effectLst/>
          </c:spPr>
          <c:invertIfNegative val="0"/>
          <c:cat>
            <c:strRef>
              <c:f>'Vannbehandling - Resultater'!$B$2</c:f>
              <c:strCache>
                <c:ptCount val="1"/>
                <c:pt idx="0">
                  <c:v>kg CO₂ ekv./år</c:v>
                </c:pt>
              </c:strCache>
            </c:strRef>
          </c:cat>
          <c:val>
            <c:numRef>
              <c:f>'Vannbehandling - Resultater'!$B$3</c:f>
              <c:numCache>
                <c:formatCode>#,##0</c:formatCode>
                <c:ptCount val="1"/>
                <c:pt idx="0">
                  <c:v>0</c:v>
                </c:pt>
              </c:numCache>
            </c:numRef>
          </c:val>
          <c:extLst>
            <c:ext xmlns:c16="http://schemas.microsoft.com/office/drawing/2014/chart" uri="{C3380CC4-5D6E-409C-BE32-E72D297353CC}">
              <c16:uniqueId val="{00000000-0D1E-4157-84CE-5B6767316C6A}"/>
            </c:ext>
          </c:extLst>
        </c:ser>
        <c:ser>
          <c:idx val="3"/>
          <c:order val="2"/>
          <c:tx>
            <c:strRef>
              <c:f>'Vannbehandling - Resultater'!$A$5</c:f>
              <c:strCache>
                <c:ptCount val="1"/>
                <c:pt idx="0">
                  <c:v>Naturgassfyring</c:v>
                </c:pt>
              </c:strCache>
            </c:strRef>
          </c:tx>
          <c:spPr>
            <a:solidFill>
              <a:schemeClr val="accent4"/>
            </a:solidFill>
            <a:ln>
              <a:noFill/>
            </a:ln>
            <a:effectLst/>
          </c:spPr>
          <c:invertIfNegative val="0"/>
          <c:cat>
            <c:strRef>
              <c:f>'Vannbehandling - Resultater'!$B$2</c:f>
              <c:strCache>
                <c:ptCount val="1"/>
                <c:pt idx="0">
                  <c:v>kg CO₂ ekv./år</c:v>
                </c:pt>
              </c:strCache>
            </c:strRef>
          </c:cat>
          <c:val>
            <c:numRef>
              <c:f>'Vannbehandling - Resultater'!$B$5</c:f>
              <c:numCache>
                <c:formatCode>#,##0</c:formatCode>
                <c:ptCount val="1"/>
                <c:pt idx="0">
                  <c:v>0</c:v>
                </c:pt>
              </c:numCache>
            </c:numRef>
          </c:val>
          <c:extLst>
            <c:ext xmlns:c16="http://schemas.microsoft.com/office/drawing/2014/chart" uri="{C3380CC4-5D6E-409C-BE32-E72D297353CC}">
              <c16:uniqueId val="{00000003-0D1E-4157-84CE-5B6767316C6A}"/>
            </c:ext>
          </c:extLst>
        </c:ser>
        <c:ser>
          <c:idx val="4"/>
          <c:order val="3"/>
          <c:tx>
            <c:strRef>
              <c:f>'Vannbehandling - Resultater'!$A$7</c:f>
              <c:strCache>
                <c:ptCount val="1"/>
                <c:pt idx="0">
                  <c:v>Oljefyring</c:v>
                </c:pt>
              </c:strCache>
            </c:strRef>
          </c:tx>
          <c:spPr>
            <a:solidFill>
              <a:schemeClr val="accent5"/>
            </a:solidFill>
            <a:ln>
              <a:noFill/>
            </a:ln>
            <a:effectLst/>
          </c:spPr>
          <c:invertIfNegative val="0"/>
          <c:cat>
            <c:strRef>
              <c:f>'Vannbehandling - Resultater'!$B$2</c:f>
              <c:strCache>
                <c:ptCount val="1"/>
                <c:pt idx="0">
                  <c:v>kg CO₂ ekv./år</c:v>
                </c:pt>
              </c:strCache>
            </c:strRef>
          </c:cat>
          <c:val>
            <c:numRef>
              <c:f>'Vannbehandling - Resultater'!$B$7</c:f>
              <c:numCache>
                <c:formatCode>#,##0</c:formatCode>
                <c:ptCount val="1"/>
                <c:pt idx="0">
                  <c:v>0</c:v>
                </c:pt>
              </c:numCache>
            </c:numRef>
          </c:val>
          <c:extLst>
            <c:ext xmlns:c16="http://schemas.microsoft.com/office/drawing/2014/chart" uri="{C3380CC4-5D6E-409C-BE32-E72D297353CC}">
              <c16:uniqueId val="{00000004-0D1E-4157-84CE-5B6767316C6A}"/>
            </c:ext>
          </c:extLst>
        </c:ser>
        <c:ser>
          <c:idx val="5"/>
          <c:order val="4"/>
          <c:tx>
            <c:strRef>
              <c:f>'Vannbehandling - Resultater'!$A$8</c:f>
              <c:strCache>
                <c:ptCount val="1"/>
                <c:pt idx="0">
                  <c:v>Pelletsfyring</c:v>
                </c:pt>
              </c:strCache>
            </c:strRef>
          </c:tx>
          <c:spPr>
            <a:solidFill>
              <a:schemeClr val="accent6"/>
            </a:solidFill>
            <a:ln>
              <a:noFill/>
            </a:ln>
            <a:effectLst/>
          </c:spPr>
          <c:invertIfNegative val="0"/>
          <c:cat>
            <c:strRef>
              <c:f>'Vannbehandling - Resultater'!$B$2</c:f>
              <c:strCache>
                <c:ptCount val="1"/>
                <c:pt idx="0">
                  <c:v>kg CO₂ ekv./år</c:v>
                </c:pt>
              </c:strCache>
            </c:strRef>
          </c:cat>
          <c:val>
            <c:numRef>
              <c:f>'Vannbehandling - Resultater'!$B$8</c:f>
              <c:numCache>
                <c:formatCode>#,##0</c:formatCode>
                <c:ptCount val="1"/>
                <c:pt idx="0">
                  <c:v>0</c:v>
                </c:pt>
              </c:numCache>
            </c:numRef>
          </c:val>
          <c:extLst>
            <c:ext xmlns:c16="http://schemas.microsoft.com/office/drawing/2014/chart" uri="{C3380CC4-5D6E-409C-BE32-E72D297353CC}">
              <c16:uniqueId val="{00000005-0D1E-4157-84CE-5B6767316C6A}"/>
            </c:ext>
          </c:extLst>
        </c:ser>
        <c:dLbls>
          <c:showLegendKey val="0"/>
          <c:showVal val="0"/>
          <c:showCatName val="0"/>
          <c:showSerName val="0"/>
          <c:showPercent val="0"/>
          <c:showBubbleSize val="0"/>
        </c:dLbls>
        <c:gapWidth val="150"/>
        <c:overlap val="100"/>
        <c:axId val="789187704"/>
        <c:axId val="789187376"/>
        <c:extLst>
          <c:ext xmlns:c15="http://schemas.microsoft.com/office/drawing/2012/chart" uri="{02D57815-91ED-43cb-92C2-25804820EDAC}">
            <c15:filteredBarSeries>
              <c15:ser>
                <c:idx val="2"/>
                <c:order val="1"/>
                <c:tx>
                  <c:strRef>
                    <c:extLst>
                      <c:ext uri="{02D57815-91ED-43cb-92C2-25804820EDAC}">
                        <c15:formulaRef>
                          <c15:sqref>'Vannbehandling - Resultater'!$A$4</c15:sqref>
                        </c15:formulaRef>
                      </c:ext>
                    </c:extLst>
                    <c:strCache>
                      <c:ptCount val="1"/>
                      <c:pt idx="0">
                        <c:v>Fjernvarme</c:v>
                      </c:pt>
                    </c:strCache>
                  </c:strRef>
                </c:tx>
                <c:spPr>
                  <a:solidFill>
                    <a:schemeClr val="accent3"/>
                  </a:solidFill>
                  <a:ln>
                    <a:noFill/>
                  </a:ln>
                  <a:effectLst/>
                </c:spPr>
                <c:invertIfNegative val="0"/>
                <c:cat>
                  <c:strRef>
                    <c:extLst>
                      <c:ext uri="{02D57815-91ED-43cb-92C2-25804820EDAC}">
                        <c15:formulaRef>
                          <c15:sqref>'Vannbehandling - Resultater'!$B$2</c15:sqref>
                        </c15:formulaRef>
                      </c:ext>
                    </c:extLst>
                    <c:strCache>
                      <c:ptCount val="1"/>
                      <c:pt idx="0">
                        <c:v>kg CO₂ ekv./år</c:v>
                      </c:pt>
                    </c:strCache>
                  </c:strRef>
                </c:cat>
                <c:val>
                  <c:numRef>
                    <c:extLst>
                      <c:ext uri="{02D57815-91ED-43cb-92C2-25804820EDAC}">
                        <c15:formulaRef>
                          <c15:sqref>'Vannbehandling - Resultater'!$B$4</c15:sqref>
                        </c15:formulaRef>
                      </c:ext>
                    </c:extLst>
                    <c:numCache>
                      <c:formatCode>#,##0</c:formatCode>
                      <c:ptCount val="1"/>
                      <c:pt idx="0">
                        <c:v>0</c:v>
                      </c:pt>
                    </c:numCache>
                  </c:numRef>
                </c:val>
                <c:extLst>
                  <c:ext xmlns:c16="http://schemas.microsoft.com/office/drawing/2014/chart" uri="{C3380CC4-5D6E-409C-BE32-E72D297353CC}">
                    <c16:uniqueId val="{00000002-0D1E-4157-84CE-5B6767316C6A}"/>
                  </c:ext>
                </c:extLst>
              </c15:ser>
            </c15:filteredBarSeries>
          </c:ext>
        </c:extLst>
      </c:barChart>
      <c:catAx>
        <c:axId val="789187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376"/>
        <c:crosses val="autoZero"/>
        <c:auto val="1"/>
        <c:lblAlgn val="ctr"/>
        <c:lblOffset val="100"/>
        <c:noMultiLvlLbl val="0"/>
      </c:catAx>
      <c:valAx>
        <c:axId val="78918737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704"/>
        <c:crosses val="autoZero"/>
        <c:crossBetween val="between"/>
      </c:valAx>
      <c:spPr>
        <a:solidFill>
          <a:schemeClr val="bg2"/>
        </a:solidFill>
        <a:ln>
          <a:noFill/>
        </a:ln>
        <a:effectLst/>
      </c:spPr>
    </c:plotArea>
    <c:legend>
      <c:legendPos val="b"/>
      <c:layout>
        <c:manualLayout>
          <c:xMode val="edge"/>
          <c:yMode val="edge"/>
          <c:x val="5.9159123364254541E-3"/>
          <c:y val="0.41773240612934509"/>
          <c:w val="0.98816817532714907"/>
          <c:h val="0.5822678094702824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Resultater'!$A$12</c:f>
              <c:strCache>
                <c:ptCount val="1"/>
                <c:pt idx="0">
                  <c:v>Filtralite</c:v>
                </c:pt>
              </c:strCache>
            </c:strRef>
          </c:tx>
          <c:spPr>
            <a:solidFill>
              <a:schemeClr val="accent1"/>
            </a:solidFill>
            <a:ln>
              <a:noFill/>
            </a:ln>
            <a:effectLst/>
          </c:spPr>
          <c:invertIfNegative val="0"/>
          <c:cat>
            <c:strRef>
              <c:f>'Vannbehandling - Resultater'!$B$11</c:f>
              <c:strCache>
                <c:ptCount val="1"/>
                <c:pt idx="0">
                  <c:v>kg CO₂ ekv./år</c:v>
                </c:pt>
              </c:strCache>
            </c:strRef>
          </c:cat>
          <c:val>
            <c:numRef>
              <c:f>'Vannbehandling - Resultater'!$B$12</c:f>
              <c:numCache>
                <c:formatCode>#,##0</c:formatCode>
                <c:ptCount val="1"/>
                <c:pt idx="0">
                  <c:v>0</c:v>
                </c:pt>
              </c:numCache>
            </c:numRef>
          </c:val>
          <c:extLst>
            <c:ext xmlns:c16="http://schemas.microsoft.com/office/drawing/2014/chart" uri="{C3380CC4-5D6E-409C-BE32-E72D297353CC}">
              <c16:uniqueId val="{00000000-C354-443A-B424-F7B56C7B5564}"/>
            </c:ext>
          </c:extLst>
        </c:ser>
        <c:ser>
          <c:idx val="1"/>
          <c:order val="1"/>
          <c:tx>
            <c:strRef>
              <c:f>'Vannbehandling - Resultater'!$A$13</c:f>
              <c:strCache>
                <c:ptCount val="1"/>
                <c:pt idx="0">
                  <c:v>Antrasitt</c:v>
                </c:pt>
              </c:strCache>
            </c:strRef>
          </c:tx>
          <c:spPr>
            <a:solidFill>
              <a:schemeClr val="accent2"/>
            </a:solidFill>
            <a:ln>
              <a:noFill/>
            </a:ln>
            <a:effectLst/>
          </c:spPr>
          <c:invertIfNegative val="0"/>
          <c:cat>
            <c:strRef>
              <c:f>'Vannbehandling - Resultater'!$B$11</c:f>
              <c:strCache>
                <c:ptCount val="1"/>
                <c:pt idx="0">
                  <c:v>kg CO₂ ekv./år</c:v>
                </c:pt>
              </c:strCache>
            </c:strRef>
          </c:cat>
          <c:val>
            <c:numRef>
              <c:f>'Vannbehandling - Resultater'!$B$13</c:f>
              <c:numCache>
                <c:formatCode>#,##0</c:formatCode>
                <c:ptCount val="1"/>
                <c:pt idx="0">
                  <c:v>0</c:v>
                </c:pt>
              </c:numCache>
            </c:numRef>
          </c:val>
          <c:extLst>
            <c:ext xmlns:c16="http://schemas.microsoft.com/office/drawing/2014/chart" uri="{C3380CC4-5D6E-409C-BE32-E72D297353CC}">
              <c16:uniqueId val="{00000001-C354-443A-B424-F7B56C7B5564}"/>
            </c:ext>
          </c:extLst>
        </c:ser>
        <c:ser>
          <c:idx val="2"/>
          <c:order val="2"/>
          <c:tx>
            <c:strRef>
              <c:f>'Vannbehandling - Resultater'!$A$14</c:f>
              <c:strCache>
                <c:ptCount val="1"/>
                <c:pt idx="0">
                  <c:v>Kvarts</c:v>
                </c:pt>
              </c:strCache>
            </c:strRef>
          </c:tx>
          <c:spPr>
            <a:solidFill>
              <a:schemeClr val="accent3"/>
            </a:solidFill>
            <a:ln>
              <a:noFill/>
            </a:ln>
            <a:effectLst/>
          </c:spPr>
          <c:invertIfNegative val="0"/>
          <c:cat>
            <c:strRef>
              <c:f>'Vannbehandling - Resultater'!$B$11</c:f>
              <c:strCache>
                <c:ptCount val="1"/>
                <c:pt idx="0">
                  <c:v>kg CO₂ ekv./år</c:v>
                </c:pt>
              </c:strCache>
            </c:strRef>
          </c:cat>
          <c:val>
            <c:numRef>
              <c:f>'Vannbehandling - Resultater'!$B$14</c:f>
              <c:numCache>
                <c:formatCode>#,##0</c:formatCode>
                <c:ptCount val="1"/>
                <c:pt idx="0">
                  <c:v>0</c:v>
                </c:pt>
              </c:numCache>
            </c:numRef>
          </c:val>
          <c:extLst>
            <c:ext xmlns:c16="http://schemas.microsoft.com/office/drawing/2014/chart" uri="{C3380CC4-5D6E-409C-BE32-E72D297353CC}">
              <c16:uniqueId val="{00000002-C354-443A-B424-F7B56C7B5564}"/>
            </c:ext>
          </c:extLst>
        </c:ser>
        <c:ser>
          <c:idx val="3"/>
          <c:order val="3"/>
          <c:tx>
            <c:strRef>
              <c:f>'Vannbehandling - Resultater'!$A$15</c:f>
              <c:strCache>
                <c:ptCount val="1"/>
                <c:pt idx="0">
                  <c:v>Marmor</c:v>
                </c:pt>
              </c:strCache>
            </c:strRef>
          </c:tx>
          <c:spPr>
            <a:solidFill>
              <a:schemeClr val="accent4"/>
            </a:solidFill>
            <a:ln>
              <a:noFill/>
            </a:ln>
            <a:effectLst/>
          </c:spPr>
          <c:invertIfNegative val="0"/>
          <c:cat>
            <c:strRef>
              <c:f>'Vannbehandling - Resultater'!$B$11</c:f>
              <c:strCache>
                <c:ptCount val="1"/>
                <c:pt idx="0">
                  <c:v>kg CO₂ ekv./år</c:v>
                </c:pt>
              </c:strCache>
            </c:strRef>
          </c:cat>
          <c:val>
            <c:numRef>
              <c:f>'Vannbehandling - Resultater'!$B$15</c:f>
              <c:numCache>
                <c:formatCode>#,##0</c:formatCode>
                <c:ptCount val="1"/>
                <c:pt idx="0">
                  <c:v>0</c:v>
                </c:pt>
              </c:numCache>
            </c:numRef>
          </c:val>
          <c:extLst>
            <c:ext xmlns:c16="http://schemas.microsoft.com/office/drawing/2014/chart" uri="{C3380CC4-5D6E-409C-BE32-E72D297353CC}">
              <c16:uniqueId val="{00000003-C354-443A-B424-F7B56C7B5564}"/>
            </c:ext>
          </c:extLst>
        </c:ser>
        <c:ser>
          <c:idx val="4"/>
          <c:order val="4"/>
          <c:tx>
            <c:strRef>
              <c:f>'Vannbehandling - Resultater'!$A$16</c:f>
              <c:strCache>
                <c:ptCount val="1"/>
                <c:pt idx="0">
                  <c:v>Mikronisert marmor </c:v>
                </c:pt>
              </c:strCache>
            </c:strRef>
          </c:tx>
          <c:spPr>
            <a:solidFill>
              <a:schemeClr val="accent5"/>
            </a:solidFill>
            <a:ln>
              <a:noFill/>
            </a:ln>
            <a:effectLst/>
          </c:spPr>
          <c:invertIfNegative val="0"/>
          <c:cat>
            <c:strRef>
              <c:f>'Vannbehandling - Resultater'!$B$11</c:f>
              <c:strCache>
                <c:ptCount val="1"/>
                <c:pt idx="0">
                  <c:v>kg CO₂ ekv./år</c:v>
                </c:pt>
              </c:strCache>
            </c:strRef>
          </c:cat>
          <c:val>
            <c:numRef>
              <c:f>'Vannbehandling - Resultater'!$B$16</c:f>
              <c:numCache>
                <c:formatCode>#,##0</c:formatCode>
                <c:ptCount val="1"/>
                <c:pt idx="0">
                  <c:v>0</c:v>
                </c:pt>
              </c:numCache>
            </c:numRef>
          </c:val>
          <c:extLst>
            <c:ext xmlns:c16="http://schemas.microsoft.com/office/drawing/2014/chart" uri="{C3380CC4-5D6E-409C-BE32-E72D297353CC}">
              <c16:uniqueId val="{00000000-8B0E-4270-B874-B44B549D8942}"/>
            </c:ext>
          </c:extLst>
        </c:ser>
        <c:dLbls>
          <c:showLegendKey val="0"/>
          <c:showVal val="0"/>
          <c:showCatName val="0"/>
          <c:showSerName val="0"/>
          <c:showPercent val="0"/>
          <c:showBubbleSize val="0"/>
        </c:dLbls>
        <c:gapWidth val="150"/>
        <c:overlap val="100"/>
        <c:axId val="753771744"/>
        <c:axId val="753773712"/>
      </c:barChart>
      <c:catAx>
        <c:axId val="753771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712"/>
        <c:crosses val="autoZero"/>
        <c:auto val="1"/>
        <c:lblAlgn val="ctr"/>
        <c:lblOffset val="100"/>
        <c:noMultiLvlLbl val="0"/>
      </c:catAx>
      <c:valAx>
        <c:axId val="75377371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174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48.xml"/><Relationship Id="rId1" Type="http://schemas.openxmlformats.org/officeDocument/2006/relationships/chart" Target="../charts/chart47.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4.xml"/><Relationship Id="rId3" Type="http://schemas.openxmlformats.org/officeDocument/2006/relationships/chart" Target="../charts/chart9.xml"/><Relationship Id="rId7" Type="http://schemas.openxmlformats.org/officeDocument/2006/relationships/chart" Target="../charts/chart13.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2.xml"/><Relationship Id="rId3" Type="http://schemas.openxmlformats.org/officeDocument/2006/relationships/chart" Target="../charts/chart17.xml"/><Relationship Id="rId7" Type="http://schemas.openxmlformats.org/officeDocument/2006/relationships/chart" Target="../charts/chart21.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chart" Target="../charts/chart20.xml"/><Relationship Id="rId5" Type="http://schemas.openxmlformats.org/officeDocument/2006/relationships/chart" Target="../charts/chart19.xml"/><Relationship Id="rId4" Type="http://schemas.openxmlformats.org/officeDocument/2006/relationships/chart" Target="../charts/chart18.xml"/><Relationship Id="rId9" Type="http://schemas.openxmlformats.org/officeDocument/2006/relationships/chart" Target="../charts/chart23.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1.xml"/><Relationship Id="rId3" Type="http://schemas.openxmlformats.org/officeDocument/2006/relationships/chart" Target="../charts/chart26.xml"/><Relationship Id="rId7" Type="http://schemas.openxmlformats.org/officeDocument/2006/relationships/chart" Target="../charts/chart30.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9.xml"/><Relationship Id="rId5" Type="http://schemas.openxmlformats.org/officeDocument/2006/relationships/chart" Target="../charts/chart28.xml"/><Relationship Id="rId4" Type="http://schemas.openxmlformats.org/officeDocument/2006/relationships/chart" Target="../charts/chart27.xml"/></Relationships>
</file>

<file path=xl/drawings/_rels/drawing6.xml.rels><?xml version="1.0" encoding="UTF-8" standalone="yes"?>
<Relationships xmlns="http://schemas.openxmlformats.org/package/2006/relationships"><Relationship Id="rId8" Type="http://schemas.openxmlformats.org/officeDocument/2006/relationships/chart" Target="../charts/chart39.xml"/><Relationship Id="rId3" Type="http://schemas.openxmlformats.org/officeDocument/2006/relationships/chart" Target="../charts/chart34.xml"/><Relationship Id="rId7" Type="http://schemas.openxmlformats.org/officeDocument/2006/relationships/chart" Target="../charts/chart38.xml"/><Relationship Id="rId2" Type="http://schemas.openxmlformats.org/officeDocument/2006/relationships/chart" Target="../charts/chart33.xml"/><Relationship Id="rId1" Type="http://schemas.openxmlformats.org/officeDocument/2006/relationships/chart" Target="../charts/chart32.xml"/><Relationship Id="rId6" Type="http://schemas.openxmlformats.org/officeDocument/2006/relationships/chart" Target="../charts/chart37.xml"/><Relationship Id="rId5" Type="http://schemas.openxmlformats.org/officeDocument/2006/relationships/chart" Target="../charts/chart36.xml"/><Relationship Id="rId4" Type="http://schemas.openxmlformats.org/officeDocument/2006/relationships/chart" Target="../charts/chart35.xml"/><Relationship Id="rId9" Type="http://schemas.openxmlformats.org/officeDocument/2006/relationships/chart" Target="../charts/chart4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8.xml.rels><?xml version="1.0" encoding="UTF-8" standalone="yes"?>
<Relationships xmlns="http://schemas.openxmlformats.org/package/2006/relationships"><Relationship Id="rId2" Type="http://schemas.openxmlformats.org/officeDocument/2006/relationships/chart" Target="../charts/chart43.xml"/><Relationship Id="rId1" Type="http://schemas.openxmlformats.org/officeDocument/2006/relationships/chart" Target="../charts/chart4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46.xml"/><Relationship Id="rId2" Type="http://schemas.openxmlformats.org/officeDocument/2006/relationships/chart" Target="../charts/chart45.xml"/><Relationship Id="rId1" Type="http://schemas.openxmlformats.org/officeDocument/2006/relationships/chart" Target="../charts/chart44.xml"/></Relationships>
</file>

<file path=xl/drawings/drawing1.xml><?xml version="1.0" encoding="utf-8"?>
<xdr:wsDr xmlns:xdr="http://schemas.openxmlformats.org/drawingml/2006/spreadsheetDrawing" xmlns:a="http://schemas.openxmlformats.org/drawingml/2006/main">
  <xdr:twoCellAnchor>
    <xdr:from>
      <xdr:col>18</xdr:col>
      <xdr:colOff>0</xdr:colOff>
      <xdr:row>36</xdr:row>
      <xdr:rowOff>95250</xdr:rowOff>
    </xdr:from>
    <xdr:to>
      <xdr:col>24</xdr:col>
      <xdr:colOff>773700</xdr:colOff>
      <xdr:row>56</xdr:row>
      <xdr:rowOff>136071</xdr:rowOff>
    </xdr:to>
    <xdr:graphicFrame macro="">
      <xdr:nvGraphicFramePr>
        <xdr:cNvPr id="2" name="Diagram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419100</xdr:colOff>
      <xdr:row>2</xdr:row>
      <xdr:rowOff>104775</xdr:rowOff>
    </xdr:from>
    <xdr:to>
      <xdr:col>13</xdr:col>
      <xdr:colOff>474345</xdr:colOff>
      <xdr:row>14</xdr:row>
      <xdr:rowOff>72390</xdr:rowOff>
    </xdr:to>
    <xdr:graphicFrame macro="">
      <xdr:nvGraphicFramePr>
        <xdr:cNvPr id="2" name="Diagra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228600</xdr:colOff>
      <xdr:row>18</xdr:row>
      <xdr:rowOff>38100</xdr:rowOff>
    </xdr:from>
    <xdr:to>
      <xdr:col>15</xdr:col>
      <xdr:colOff>731520</xdr:colOff>
      <xdr:row>38</xdr:row>
      <xdr:rowOff>167640</xdr:rowOff>
    </xdr:to>
    <xdr:graphicFrame macro="">
      <xdr:nvGraphicFramePr>
        <xdr:cNvPr id="3" name="Diagra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878542</xdr:colOff>
      <xdr:row>44</xdr:row>
      <xdr:rowOff>162486</xdr:rowOff>
    </xdr:from>
    <xdr:to>
      <xdr:col>15</xdr:col>
      <xdr:colOff>14568</xdr:colOff>
      <xdr:row>56</xdr:row>
      <xdr:rowOff>204508</xdr:rowOff>
    </xdr:to>
    <xdr:graphicFrame macro="">
      <xdr:nvGraphicFramePr>
        <xdr:cNvPr id="4" name="Diagram 3">
          <a:extLst>
            <a:ext uri="{FF2B5EF4-FFF2-40B4-BE49-F238E27FC236}">
              <a16:creationId xmlns:a16="http://schemas.microsoft.com/office/drawing/2014/main" id="{00000000-0008-0000-0A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646019</xdr:colOff>
      <xdr:row>32</xdr:row>
      <xdr:rowOff>85725</xdr:rowOff>
    </xdr:from>
    <xdr:to>
      <xdr:col>14</xdr:col>
      <xdr:colOff>981076</xdr:colOff>
      <xdr:row>44</xdr:row>
      <xdr:rowOff>315447</xdr:rowOff>
    </xdr:to>
    <xdr:graphicFrame macro="">
      <xdr:nvGraphicFramePr>
        <xdr:cNvPr id="10" name="Diagram 9">
          <a:extLst>
            <a:ext uri="{FF2B5EF4-FFF2-40B4-BE49-F238E27FC236}">
              <a16:creationId xmlns:a16="http://schemas.microsoft.com/office/drawing/2014/main" id="{00000000-0008-0000-0A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200025</xdr:colOff>
      <xdr:row>15</xdr:row>
      <xdr:rowOff>55244</xdr:rowOff>
    </xdr:from>
    <xdr:to>
      <xdr:col>11</xdr:col>
      <xdr:colOff>968188</xdr:colOff>
      <xdr:row>29</xdr:row>
      <xdr:rowOff>0</xdr:rowOff>
    </xdr:to>
    <xdr:graphicFrame macro="">
      <xdr:nvGraphicFramePr>
        <xdr:cNvPr id="2" name="Diagra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761999</xdr:colOff>
      <xdr:row>3</xdr:row>
      <xdr:rowOff>4761</xdr:rowOff>
    </xdr:from>
    <xdr:to>
      <xdr:col>13</xdr:col>
      <xdr:colOff>581025</xdr:colOff>
      <xdr:row>14</xdr:row>
      <xdr:rowOff>0</xdr:rowOff>
    </xdr:to>
    <xdr:graphicFrame macro="">
      <xdr:nvGraphicFramePr>
        <xdr:cNvPr id="3" name="Diagram 2">
          <a:extLst>
            <a:ext uri="{FF2B5EF4-FFF2-40B4-BE49-F238E27FC236}">
              <a16:creationId xmlns:a16="http://schemas.microsoft.com/office/drawing/2014/main" id="{C62B0435-A7E7-4326-845A-796A4A1B91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952500</xdr:colOff>
      <xdr:row>58</xdr:row>
      <xdr:rowOff>0</xdr:rowOff>
    </xdr:from>
    <xdr:to>
      <xdr:col>15</xdr:col>
      <xdr:colOff>201707</xdr:colOff>
      <xdr:row>67</xdr:row>
      <xdr:rowOff>182097</xdr:rowOff>
    </xdr:to>
    <xdr:graphicFrame macro="">
      <xdr:nvGraphicFramePr>
        <xdr:cNvPr id="8" name="Diagram 9">
          <a:extLst>
            <a:ext uri="{FF2B5EF4-FFF2-40B4-BE49-F238E27FC236}">
              <a16:creationId xmlns:a16="http://schemas.microsoft.com/office/drawing/2014/main" id="{B9204A46-399A-4BA5-9945-6C791935F3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20</xdr:col>
      <xdr:colOff>733425</xdr:colOff>
      <xdr:row>3</xdr:row>
      <xdr:rowOff>76200</xdr:rowOff>
    </xdr:from>
    <xdr:to>
      <xdr:col>28</xdr:col>
      <xdr:colOff>144780</xdr:colOff>
      <xdr:row>14</xdr:row>
      <xdr:rowOff>177165</xdr:rowOff>
    </xdr:to>
    <xdr:graphicFrame macro="">
      <xdr:nvGraphicFramePr>
        <xdr:cNvPr id="2" name="Diagra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231322</xdr:colOff>
      <xdr:row>3</xdr:row>
      <xdr:rowOff>27214</xdr:rowOff>
    </xdr:from>
    <xdr:to>
      <xdr:col>17</xdr:col>
      <xdr:colOff>704851</xdr:colOff>
      <xdr:row>9</xdr:row>
      <xdr:rowOff>190500</xdr:rowOff>
    </xdr:to>
    <xdr:graphicFrame macro="">
      <xdr:nvGraphicFramePr>
        <xdr:cNvPr id="3" name="Diagram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45720</xdr:colOff>
      <xdr:row>11</xdr:row>
      <xdr:rowOff>137160</xdr:rowOff>
    </xdr:from>
    <xdr:to>
      <xdr:col>20</xdr:col>
      <xdr:colOff>83820</xdr:colOff>
      <xdr:row>17</xdr:row>
      <xdr:rowOff>0</xdr:rowOff>
    </xdr:to>
    <xdr:graphicFrame macro="">
      <xdr:nvGraphicFramePr>
        <xdr:cNvPr id="5" name="Diagra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19</xdr:row>
      <xdr:rowOff>0</xdr:rowOff>
    </xdr:from>
    <xdr:to>
      <xdr:col>20</xdr:col>
      <xdr:colOff>99060</xdr:colOff>
      <xdr:row>38</xdr:row>
      <xdr:rowOff>182880</xdr:rowOff>
    </xdr:to>
    <xdr:graphicFrame macro="">
      <xdr:nvGraphicFramePr>
        <xdr:cNvPr id="6" name="Diagra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43</xdr:row>
      <xdr:rowOff>0</xdr:rowOff>
    </xdr:from>
    <xdr:to>
      <xdr:col>20</xdr:col>
      <xdr:colOff>114300</xdr:colOff>
      <xdr:row>51</xdr:row>
      <xdr:rowOff>11430</xdr:rowOff>
    </xdr:to>
    <xdr:graphicFrame macro="">
      <xdr:nvGraphicFramePr>
        <xdr:cNvPr id="7" name="Diagram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56029</xdr:colOff>
      <xdr:row>60</xdr:row>
      <xdr:rowOff>0</xdr:rowOff>
    </xdr:from>
    <xdr:to>
      <xdr:col>19</xdr:col>
      <xdr:colOff>2308412</xdr:colOff>
      <xdr:row>82</xdr:row>
      <xdr:rowOff>95250</xdr:rowOff>
    </xdr:to>
    <xdr:graphicFrame macro="">
      <xdr:nvGraphicFramePr>
        <xdr:cNvPr id="9" name="Diagram 8">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0</xdr:colOff>
      <xdr:row>52</xdr:row>
      <xdr:rowOff>1</xdr:rowOff>
    </xdr:from>
    <xdr:to>
      <xdr:col>20</xdr:col>
      <xdr:colOff>161925</xdr:colOff>
      <xdr:row>58</xdr:row>
      <xdr:rowOff>161925</xdr:rowOff>
    </xdr:to>
    <xdr:graphicFrame macro="">
      <xdr:nvGraphicFramePr>
        <xdr:cNvPr id="10" name="Diagram 9">
          <a:extLst>
            <a:ext uri="{FF2B5EF4-FFF2-40B4-BE49-F238E27FC236}">
              <a16:creationId xmlns:a16="http://schemas.microsoft.com/office/drawing/2014/main" id="{00000000-0008-0000-0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15</xdr:col>
      <xdr:colOff>0</xdr:colOff>
      <xdr:row>97</xdr:row>
      <xdr:rowOff>0</xdr:rowOff>
    </xdr:from>
    <xdr:to>
      <xdr:col>20</xdr:col>
      <xdr:colOff>114300</xdr:colOff>
      <xdr:row>100</xdr:row>
      <xdr:rowOff>182880</xdr:rowOff>
    </xdr:to>
    <xdr:graphicFrame macro="">
      <xdr:nvGraphicFramePr>
        <xdr:cNvPr id="11" name="Diagram 10">
          <a:extLst>
            <a:ext uri="{FF2B5EF4-FFF2-40B4-BE49-F238E27FC236}">
              <a16:creationId xmlns:a16="http://schemas.microsoft.com/office/drawing/2014/main" id="{00000000-0008-0000-0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53340</xdr:colOff>
      <xdr:row>0</xdr:row>
      <xdr:rowOff>0</xdr:rowOff>
    </xdr:from>
    <xdr:to>
      <xdr:col>17</xdr:col>
      <xdr:colOff>175260</xdr:colOff>
      <xdr:row>14</xdr:row>
      <xdr:rowOff>83820</xdr:rowOff>
    </xdr:to>
    <xdr:graphicFrame macro="">
      <xdr:nvGraphicFramePr>
        <xdr:cNvPr id="2" name="Diagra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137160</xdr:colOff>
      <xdr:row>1</xdr:row>
      <xdr:rowOff>26670</xdr:rowOff>
    </xdr:from>
    <xdr:to>
      <xdr:col>8</xdr:col>
      <xdr:colOff>60960</xdr:colOff>
      <xdr:row>8</xdr:row>
      <xdr:rowOff>0</xdr:rowOff>
    </xdr:to>
    <xdr:graphicFrame macro="">
      <xdr:nvGraphicFramePr>
        <xdr:cNvPr id="3" name="Diagram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121919</xdr:colOff>
      <xdr:row>9</xdr:row>
      <xdr:rowOff>140970</xdr:rowOff>
    </xdr:from>
    <xdr:to>
      <xdr:col>8</xdr:col>
      <xdr:colOff>47624</xdr:colOff>
      <xdr:row>15</xdr:row>
      <xdr:rowOff>0</xdr:rowOff>
    </xdr:to>
    <xdr:graphicFrame macro="">
      <xdr:nvGraphicFramePr>
        <xdr:cNvPr id="4" name="Diagra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83820</xdr:colOff>
      <xdr:row>17</xdr:row>
      <xdr:rowOff>163830</xdr:rowOff>
    </xdr:from>
    <xdr:to>
      <xdr:col>8</xdr:col>
      <xdr:colOff>53340</xdr:colOff>
      <xdr:row>36</xdr:row>
      <xdr:rowOff>152400</xdr:rowOff>
    </xdr:to>
    <xdr:graphicFrame macro="">
      <xdr:nvGraphicFramePr>
        <xdr:cNvPr id="5" name="Diagram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99060</xdr:colOff>
      <xdr:row>40</xdr:row>
      <xdr:rowOff>186690</xdr:rowOff>
    </xdr:from>
    <xdr:to>
      <xdr:col>8</xdr:col>
      <xdr:colOff>53340</xdr:colOff>
      <xdr:row>49</xdr:row>
      <xdr:rowOff>7620</xdr:rowOff>
    </xdr:to>
    <xdr:graphicFrame macro="">
      <xdr:nvGraphicFramePr>
        <xdr:cNvPr id="6" name="Diagram 5">
          <a:extLst>
            <a:ext uri="{FF2B5EF4-FFF2-40B4-BE49-F238E27FC236}">
              <a16:creationId xmlns:a16="http://schemas.microsoft.com/office/drawing/2014/main" id="{00000000-0008-0000-03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53340</xdr:colOff>
      <xdr:row>49</xdr:row>
      <xdr:rowOff>179070</xdr:rowOff>
    </xdr:from>
    <xdr:to>
      <xdr:col>7</xdr:col>
      <xdr:colOff>752475</xdr:colOff>
      <xdr:row>56</xdr:row>
      <xdr:rowOff>28575</xdr:rowOff>
    </xdr:to>
    <xdr:graphicFrame macro="">
      <xdr:nvGraphicFramePr>
        <xdr:cNvPr id="7" name="Diagram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53340</xdr:colOff>
      <xdr:row>56</xdr:row>
      <xdr:rowOff>171450</xdr:rowOff>
    </xdr:from>
    <xdr:to>
      <xdr:col>8</xdr:col>
      <xdr:colOff>45720</xdr:colOff>
      <xdr:row>80</xdr:row>
      <xdr:rowOff>9525</xdr:rowOff>
    </xdr:to>
    <xdr:graphicFrame macro="">
      <xdr:nvGraphicFramePr>
        <xdr:cNvPr id="8" name="Diagram 7">
          <a:extLst>
            <a:ext uri="{FF2B5EF4-FFF2-40B4-BE49-F238E27FC236}">
              <a16:creationId xmlns:a16="http://schemas.microsoft.com/office/drawing/2014/main"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93</xdr:row>
      <xdr:rowOff>0</xdr:rowOff>
    </xdr:from>
    <xdr:to>
      <xdr:col>8</xdr:col>
      <xdr:colOff>7620</xdr:colOff>
      <xdr:row>100</xdr:row>
      <xdr:rowOff>152400</xdr:rowOff>
    </xdr:to>
    <xdr:graphicFrame macro="">
      <xdr:nvGraphicFramePr>
        <xdr:cNvPr id="9" name="Diagram 8">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81</xdr:row>
      <xdr:rowOff>0</xdr:rowOff>
    </xdr:from>
    <xdr:to>
      <xdr:col>7</xdr:col>
      <xdr:colOff>705970</xdr:colOff>
      <xdr:row>92</xdr:row>
      <xdr:rowOff>22412</xdr:rowOff>
    </xdr:to>
    <xdr:graphicFrame macro="">
      <xdr:nvGraphicFramePr>
        <xdr:cNvPr id="12" name="Diagram 11">
          <a:extLst>
            <a:ext uri="{FF2B5EF4-FFF2-40B4-BE49-F238E27FC236}">
              <a16:creationId xmlns:a16="http://schemas.microsoft.com/office/drawing/2014/main" id="{CB09CED5-4AE0-4603-BA61-432444113B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20</xdr:col>
      <xdr:colOff>615428</xdr:colOff>
      <xdr:row>12</xdr:row>
      <xdr:rowOff>54429</xdr:rowOff>
    </xdr:from>
    <xdr:to>
      <xdr:col>28</xdr:col>
      <xdr:colOff>285751</xdr:colOff>
      <xdr:row>22</xdr:row>
      <xdr:rowOff>13895</xdr:rowOff>
    </xdr:to>
    <xdr:graphicFrame macro="">
      <xdr:nvGraphicFramePr>
        <xdr:cNvPr id="2" name="Diagra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952501</xdr:colOff>
      <xdr:row>5</xdr:row>
      <xdr:rowOff>68036</xdr:rowOff>
    </xdr:from>
    <xdr:to>
      <xdr:col>19</xdr:col>
      <xdr:colOff>701585</xdr:colOff>
      <xdr:row>12</xdr:row>
      <xdr:rowOff>54349</xdr:rowOff>
    </xdr:to>
    <xdr:graphicFrame macro="">
      <xdr:nvGraphicFramePr>
        <xdr:cNvPr id="3" name="Diagra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45720</xdr:colOff>
      <xdr:row>14</xdr:row>
      <xdr:rowOff>1</xdr:rowOff>
    </xdr:from>
    <xdr:to>
      <xdr:col>20</xdr:col>
      <xdr:colOff>83820</xdr:colOff>
      <xdr:row>20</xdr:row>
      <xdr:rowOff>76201</xdr:rowOff>
    </xdr:to>
    <xdr:graphicFrame macro="">
      <xdr:nvGraphicFramePr>
        <xdr:cNvPr id="4" name="Diagram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21</xdr:row>
      <xdr:rowOff>0</xdr:rowOff>
    </xdr:from>
    <xdr:to>
      <xdr:col>20</xdr:col>
      <xdr:colOff>99060</xdr:colOff>
      <xdr:row>40</xdr:row>
      <xdr:rowOff>182880</xdr:rowOff>
    </xdr:to>
    <xdr:graphicFrame macro="">
      <xdr:nvGraphicFramePr>
        <xdr:cNvPr id="5" name="Diagram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45</xdr:row>
      <xdr:rowOff>0</xdr:rowOff>
    </xdr:from>
    <xdr:to>
      <xdr:col>20</xdr:col>
      <xdr:colOff>114300</xdr:colOff>
      <xdr:row>53</xdr:row>
      <xdr:rowOff>11430</xdr:rowOff>
    </xdr:to>
    <xdr:graphicFrame macro="">
      <xdr:nvGraphicFramePr>
        <xdr:cNvPr id="6" name="Diagram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0</xdr:colOff>
      <xdr:row>62</xdr:row>
      <xdr:rowOff>1</xdr:rowOff>
    </xdr:from>
    <xdr:to>
      <xdr:col>20</xdr:col>
      <xdr:colOff>9526</xdr:colOff>
      <xdr:row>84</xdr:row>
      <xdr:rowOff>123826</xdr:rowOff>
    </xdr:to>
    <xdr:graphicFrame macro="">
      <xdr:nvGraphicFramePr>
        <xdr:cNvPr id="7" name="Diagram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155864</xdr:colOff>
      <xdr:row>54</xdr:row>
      <xdr:rowOff>0</xdr:rowOff>
    </xdr:from>
    <xdr:to>
      <xdr:col>20</xdr:col>
      <xdr:colOff>152400</xdr:colOff>
      <xdr:row>61</xdr:row>
      <xdr:rowOff>85725</xdr:rowOff>
    </xdr:to>
    <xdr:graphicFrame macro="">
      <xdr:nvGraphicFramePr>
        <xdr:cNvPr id="8" name="Diagram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15</xdr:col>
      <xdr:colOff>0</xdr:colOff>
      <xdr:row>98</xdr:row>
      <xdr:rowOff>190500</xdr:rowOff>
    </xdr:from>
    <xdr:to>
      <xdr:col>20</xdr:col>
      <xdr:colOff>114300</xdr:colOff>
      <xdr:row>103</xdr:row>
      <xdr:rowOff>47625</xdr:rowOff>
    </xdr:to>
    <xdr:graphicFrame macro="">
      <xdr:nvGraphicFramePr>
        <xdr:cNvPr id="9" name="Diagram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53340</xdr:colOff>
      <xdr:row>2</xdr:row>
      <xdr:rowOff>0</xdr:rowOff>
    </xdr:from>
    <xdr:to>
      <xdr:col>11</xdr:col>
      <xdr:colOff>0</xdr:colOff>
      <xdr:row>13</xdr:row>
      <xdr:rowOff>0</xdr:rowOff>
    </xdr:to>
    <xdr:graphicFrame macro="">
      <xdr:nvGraphicFramePr>
        <xdr:cNvPr id="2" name="Diagra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137160</xdr:colOff>
      <xdr:row>13</xdr:row>
      <xdr:rowOff>190500</xdr:rowOff>
    </xdr:from>
    <xdr:to>
      <xdr:col>8</xdr:col>
      <xdr:colOff>60960</xdr:colOff>
      <xdr:row>21</xdr:row>
      <xdr:rowOff>0</xdr:rowOff>
    </xdr:to>
    <xdr:graphicFrame macro="">
      <xdr:nvGraphicFramePr>
        <xdr:cNvPr id="3" name="Diagra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121920</xdr:colOff>
      <xdr:row>22</xdr:row>
      <xdr:rowOff>140970</xdr:rowOff>
    </xdr:from>
    <xdr:to>
      <xdr:col>8</xdr:col>
      <xdr:colOff>68580</xdr:colOff>
      <xdr:row>29</xdr:row>
      <xdr:rowOff>30480</xdr:rowOff>
    </xdr:to>
    <xdr:graphicFrame macro="">
      <xdr:nvGraphicFramePr>
        <xdr:cNvPr id="4" name="Diagram 3">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83820</xdr:colOff>
      <xdr:row>30</xdr:row>
      <xdr:rowOff>163830</xdr:rowOff>
    </xdr:from>
    <xdr:to>
      <xdr:col>8</xdr:col>
      <xdr:colOff>53340</xdr:colOff>
      <xdr:row>49</xdr:row>
      <xdr:rowOff>152400</xdr:rowOff>
    </xdr:to>
    <xdr:graphicFrame macro="">
      <xdr:nvGraphicFramePr>
        <xdr:cNvPr id="5" name="Diagram 4">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99060</xdr:colOff>
      <xdr:row>53</xdr:row>
      <xdr:rowOff>186690</xdr:rowOff>
    </xdr:from>
    <xdr:to>
      <xdr:col>8</xdr:col>
      <xdr:colOff>53340</xdr:colOff>
      <xdr:row>62</xdr:row>
      <xdr:rowOff>7620</xdr:rowOff>
    </xdr:to>
    <xdr:graphicFrame macro="">
      <xdr:nvGraphicFramePr>
        <xdr:cNvPr id="6" name="Diagram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53340</xdr:colOff>
      <xdr:row>62</xdr:row>
      <xdr:rowOff>179070</xdr:rowOff>
    </xdr:from>
    <xdr:to>
      <xdr:col>8</xdr:col>
      <xdr:colOff>45720</xdr:colOff>
      <xdr:row>70</xdr:row>
      <xdr:rowOff>76200</xdr:rowOff>
    </xdr:to>
    <xdr:graphicFrame macro="">
      <xdr:nvGraphicFramePr>
        <xdr:cNvPr id="7" name="Diagram 6">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53339</xdr:colOff>
      <xdr:row>69</xdr:row>
      <xdr:rowOff>171449</xdr:rowOff>
    </xdr:from>
    <xdr:to>
      <xdr:col>8</xdr:col>
      <xdr:colOff>95250</xdr:colOff>
      <xdr:row>93</xdr:row>
      <xdr:rowOff>76199</xdr:rowOff>
    </xdr:to>
    <xdr:graphicFrame macro="">
      <xdr:nvGraphicFramePr>
        <xdr:cNvPr id="8" name="Diagram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106</xdr:row>
      <xdr:rowOff>19050</xdr:rowOff>
    </xdr:from>
    <xdr:to>
      <xdr:col>8</xdr:col>
      <xdr:colOff>7620</xdr:colOff>
      <xdr:row>114</xdr:row>
      <xdr:rowOff>30480</xdr:rowOff>
    </xdr:to>
    <xdr:graphicFrame macro="">
      <xdr:nvGraphicFramePr>
        <xdr:cNvPr id="9" name="Diagra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369570</xdr:colOff>
      <xdr:row>115</xdr:row>
      <xdr:rowOff>160020</xdr:rowOff>
    </xdr:from>
    <xdr:to>
      <xdr:col>9</xdr:col>
      <xdr:colOff>914400</xdr:colOff>
      <xdr:row>123</xdr:row>
      <xdr:rowOff>9525</xdr:rowOff>
    </xdr:to>
    <xdr:graphicFrame macro="">
      <xdr:nvGraphicFramePr>
        <xdr:cNvPr id="10" name="Diagram 9">
          <a:extLst>
            <a:ext uri="{FF2B5EF4-FFF2-40B4-BE49-F238E27FC236}">
              <a16:creationId xmlns:a16="http://schemas.microsoft.com/office/drawing/2014/main" id="{00000000-0008-0000-09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xdr:col>
      <xdr:colOff>469899</xdr:colOff>
      <xdr:row>23</xdr:row>
      <xdr:rowOff>58736</xdr:rowOff>
    </xdr:from>
    <xdr:to>
      <xdr:col>8</xdr:col>
      <xdr:colOff>222249</xdr:colOff>
      <xdr:row>38</xdr:row>
      <xdr:rowOff>12699</xdr:rowOff>
    </xdr:to>
    <xdr:graphicFrame macro="">
      <xdr:nvGraphicFramePr>
        <xdr:cNvPr id="3" name="Diagram 2">
          <a:extLst>
            <a:ext uri="{FF2B5EF4-FFF2-40B4-BE49-F238E27FC236}">
              <a16:creationId xmlns:a16="http://schemas.microsoft.com/office/drawing/2014/main" id="{F1C48895-EE5C-47D4-903F-2AF2E25181A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5</xdr:col>
      <xdr:colOff>409575</xdr:colOff>
      <xdr:row>20</xdr:row>
      <xdr:rowOff>190500</xdr:rowOff>
    </xdr:from>
    <xdr:to>
      <xdr:col>12</xdr:col>
      <xdr:colOff>0</xdr:colOff>
      <xdr:row>37</xdr:row>
      <xdr:rowOff>158115</xdr:rowOff>
    </xdr:to>
    <xdr:graphicFrame macro="">
      <xdr:nvGraphicFramePr>
        <xdr:cNvPr id="3" name="Diagra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600075</xdr:colOff>
      <xdr:row>29</xdr:row>
      <xdr:rowOff>104775</xdr:rowOff>
    </xdr:from>
    <xdr:to>
      <xdr:col>20</xdr:col>
      <xdr:colOff>390524</xdr:colOff>
      <xdr:row>49</xdr:row>
      <xdr:rowOff>95250</xdr:rowOff>
    </xdr:to>
    <xdr:graphicFrame macro="">
      <xdr:nvGraphicFramePr>
        <xdr:cNvPr id="4" name="Diagram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4</xdr:col>
      <xdr:colOff>230505</xdr:colOff>
      <xdr:row>0</xdr:row>
      <xdr:rowOff>325756</xdr:rowOff>
    </xdr:from>
    <xdr:to>
      <xdr:col>16</xdr:col>
      <xdr:colOff>11430</xdr:colOff>
      <xdr:row>12</xdr:row>
      <xdr:rowOff>51436</xdr:rowOff>
    </xdr:to>
    <xdr:graphicFrame macro="">
      <xdr:nvGraphicFramePr>
        <xdr:cNvPr id="2" name="Diagra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38101</xdr:colOff>
      <xdr:row>47</xdr:row>
      <xdr:rowOff>57149</xdr:rowOff>
    </xdr:from>
    <xdr:to>
      <xdr:col>21</xdr:col>
      <xdr:colOff>95250</xdr:colOff>
      <xdr:row>67</xdr:row>
      <xdr:rowOff>28574</xdr:rowOff>
    </xdr:to>
    <xdr:graphicFrame macro="">
      <xdr:nvGraphicFramePr>
        <xdr:cNvPr id="6" name="Diagram 5">
          <a:extLst>
            <a:ext uri="{FF2B5EF4-FFF2-40B4-BE49-F238E27FC236}">
              <a16:creationId xmlns:a16="http://schemas.microsoft.com/office/drawing/2014/main" id="{00000000-0008-0000-06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114300</xdr:colOff>
      <xdr:row>47</xdr:row>
      <xdr:rowOff>28575</xdr:rowOff>
    </xdr:from>
    <xdr:to>
      <xdr:col>28</xdr:col>
      <xdr:colOff>676274</xdr:colOff>
      <xdr:row>67</xdr:row>
      <xdr:rowOff>47625</xdr:rowOff>
    </xdr:to>
    <xdr:graphicFrame macro="">
      <xdr:nvGraphicFramePr>
        <xdr:cNvPr id="4" name="Diagram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1" displayName="Tabell1" ref="A1:D344" totalsRowShown="0" headerRowDxfId="11" dataDxfId="10">
  <autoFilter ref="A1:D344" xr:uid="{00000000-0009-0000-0100-000001000000}"/>
  <tableColumns count="4">
    <tableColumn id="1" xr3:uid="{00000000-0010-0000-0000-000001000000}" name="Materiale" dataDxfId="9"/>
    <tableColumn id="2" xr3:uid="{00000000-0010-0000-0000-000002000000}" name="Dimensjon (mm)" dataDxfId="8"/>
    <tableColumn id="3" xr3:uid="{00000000-0010-0000-0000-000003000000}" name="SDR" dataDxfId="7"/>
    <tableColumn id="4" xr3:uid="{00000000-0010-0000-0000-000004000000}" name="Vekt (kg/m)" dataDxfId="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2" displayName="Tabell2" ref="E1:F344" totalsRowShown="0">
  <autoFilter ref="E1:F344" xr:uid="{00000000-0009-0000-0100-000002000000}"/>
  <tableColumns count="2">
    <tableColumn id="1" xr3:uid="{00000000-0010-0000-0100-000001000000}" name="kg CO₂/kg materiale" dataDxfId="5"/>
    <tableColumn id="2" xr3:uid="{00000000-0010-0000-0100-000002000000}" name="GWP 100 (kg CO₂ ekv./m)" dataDxfId="4"/>
  </tableColumns>
  <tableStyleInfo name="TableStyleMedium2" showFirstColumn="0" showLastColumn="0" showRowStripes="1" showColumnStripes="0"/>
</table>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www.miljodirektoratet.no/ansvarsomrader/klima/transport/biodrivstoff/" TargetMode="External"/><Relationship Id="rId7" Type="http://schemas.openxmlformats.org/officeDocument/2006/relationships/vmlDrawing" Target="../drawings/vmlDrawing1.vml"/><Relationship Id="rId2" Type="http://schemas.openxmlformats.org/officeDocument/2006/relationships/hyperlink" Target="https://lca.tools/eTrans/transportExp.aspx" TargetMode="External"/><Relationship Id="rId1" Type="http://schemas.openxmlformats.org/officeDocument/2006/relationships/hyperlink" Target="https://joint-research-centre.ec.europa.eu/welcome-jec-website/jec-publications/jec-version-5-2020_en" TargetMode="External"/><Relationship Id="rId6" Type="http://schemas.openxmlformats.org/officeDocument/2006/relationships/printerSettings" Target="../printerSettings/printerSettings10.bin"/><Relationship Id="rId5" Type="http://schemas.openxmlformats.org/officeDocument/2006/relationships/hyperlink" Target="https://eur-lex.europa.eu/legal-content/EN/TXT/PDF/?uri=CELEX:32019R1242&amp;from=EN" TargetMode="External"/><Relationship Id="rId4" Type="http://schemas.openxmlformats.org/officeDocument/2006/relationships/hyperlink" Target="http://www.cer-rec.gc.ca/en/data-analysis/energy-markets/market-snapshots/2020/market-snapshot-hydrogen-potential.html"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K49"/>
  <sheetViews>
    <sheetView zoomScale="85" zoomScaleNormal="85" workbookViewId="0">
      <selection activeCell="B9" sqref="B9"/>
    </sheetView>
  </sheetViews>
  <sheetFormatPr baseColWidth="10" defaultColWidth="11.44140625" defaultRowHeight="14.4" x14ac:dyDescent="0.3"/>
  <cols>
    <col min="1" max="1" width="44.6640625" style="16" customWidth="1"/>
    <col min="2" max="2" width="91.5546875" style="16" customWidth="1"/>
    <col min="3" max="16384" width="11.44140625" style="16"/>
  </cols>
  <sheetData>
    <row r="1" spans="1:2" ht="18.600000000000001" thickBot="1" x14ac:dyDescent="0.4">
      <c r="A1" s="70" t="s">
        <v>1020</v>
      </c>
    </row>
    <row r="2" spans="1:2" ht="15" customHeight="1" x14ac:dyDescent="0.3">
      <c r="A2" s="1080" t="s">
        <v>826</v>
      </c>
      <c r="B2" s="1081"/>
    </row>
    <row r="3" spans="1:2" x14ac:dyDescent="0.3">
      <c r="A3" s="1082"/>
      <c r="B3" s="1083"/>
    </row>
    <row r="4" spans="1:2" ht="62.4" customHeight="1" thickBot="1" x14ac:dyDescent="0.35">
      <c r="A4" s="1084"/>
      <c r="B4" s="1085"/>
    </row>
    <row r="5" spans="1:2" x14ac:dyDescent="0.3">
      <c r="A5" s="222" t="s">
        <v>595</v>
      </c>
      <c r="B5" s="1277"/>
    </row>
    <row r="6" spans="1:2" x14ac:dyDescent="0.3">
      <c r="A6" s="286" t="s">
        <v>596</v>
      </c>
      <c r="B6" s="1278"/>
    </row>
    <row r="7" spans="1:2" x14ac:dyDescent="0.3">
      <c r="A7" s="286" t="s">
        <v>822</v>
      </c>
      <c r="B7" s="1278"/>
    </row>
    <row r="8" spans="1:2" x14ac:dyDescent="0.3">
      <c r="A8" s="286" t="s">
        <v>823</v>
      </c>
      <c r="B8" s="1278"/>
    </row>
    <row r="9" spans="1:2" x14ac:dyDescent="0.3">
      <c r="A9" s="286" t="s">
        <v>824</v>
      </c>
      <c r="B9" s="1278"/>
    </row>
    <row r="10" spans="1:2" ht="15" thickBot="1" x14ac:dyDescent="0.35">
      <c r="A10" s="223" t="s">
        <v>825</v>
      </c>
      <c r="B10" s="1279"/>
    </row>
    <row r="11" spans="1:2" x14ac:dyDescent="0.3">
      <c r="A11" s="224"/>
      <c r="B11" s="119"/>
    </row>
    <row r="12" spans="1:2" x14ac:dyDescent="0.3">
      <c r="A12" s="273" t="s">
        <v>374</v>
      </c>
      <c r="B12" s="119"/>
    </row>
    <row r="13" spans="1:2" x14ac:dyDescent="0.3">
      <c r="A13" s="185" t="s">
        <v>771</v>
      </c>
      <c r="B13" s="186"/>
    </row>
    <row r="14" spans="1:2" ht="228.75" customHeight="1" thickBot="1" x14ac:dyDescent="0.35">
      <c r="A14" s="289" t="s">
        <v>381</v>
      </c>
      <c r="B14" s="240" t="s">
        <v>820</v>
      </c>
    </row>
    <row r="15" spans="1:2" x14ac:dyDescent="0.3">
      <c r="A15" s="275" t="s">
        <v>818</v>
      </c>
      <c r="B15" s="183" t="s">
        <v>380</v>
      </c>
    </row>
    <row r="16" spans="1:2" ht="120" customHeight="1" x14ac:dyDescent="0.3">
      <c r="A16" s="290" t="s">
        <v>818</v>
      </c>
      <c r="B16" s="1079" t="s">
        <v>819</v>
      </c>
    </row>
    <row r="17" spans="1:11" ht="148.5" customHeight="1" x14ac:dyDescent="0.3">
      <c r="A17" s="274"/>
      <c r="B17" s="1079"/>
    </row>
    <row r="18" spans="1:11" ht="15.9" customHeight="1" x14ac:dyDescent="0.3">
      <c r="A18" s="277" t="s">
        <v>335</v>
      </c>
      <c r="B18" s="279" t="s">
        <v>380</v>
      </c>
    </row>
    <row r="19" spans="1:11" ht="57.6" x14ac:dyDescent="0.3">
      <c r="A19" s="274" t="s">
        <v>377</v>
      </c>
      <c r="B19" s="280" t="s">
        <v>639</v>
      </c>
    </row>
    <row r="20" spans="1:11" ht="55.5" customHeight="1" x14ac:dyDescent="0.3">
      <c r="A20" s="278" t="s">
        <v>376</v>
      </c>
      <c r="B20" s="281"/>
    </row>
    <row r="21" spans="1:11" x14ac:dyDescent="0.3">
      <c r="A21" s="282" t="s">
        <v>769</v>
      </c>
      <c r="B21" s="284" t="s">
        <v>380</v>
      </c>
    </row>
    <row r="22" spans="1:11" ht="126" customHeight="1" x14ac:dyDescent="0.3">
      <c r="A22" s="274" t="s">
        <v>996</v>
      </c>
      <c r="B22" s="276" t="s">
        <v>995</v>
      </c>
      <c r="C22" s="283"/>
      <c r="D22" s="283"/>
      <c r="E22" s="283"/>
      <c r="F22" s="283"/>
      <c r="G22" s="283"/>
      <c r="H22" s="283"/>
      <c r="I22" s="283"/>
      <c r="J22" s="283"/>
      <c r="K22" s="283"/>
    </row>
    <row r="23" spans="1:11" x14ac:dyDescent="0.3">
      <c r="A23" s="144"/>
      <c r="B23" s="272"/>
      <c r="C23" s="283"/>
      <c r="D23" s="283"/>
      <c r="E23" s="283"/>
      <c r="F23" s="283"/>
      <c r="G23" s="283"/>
      <c r="H23" s="283"/>
      <c r="I23" s="283"/>
      <c r="J23" s="283"/>
      <c r="K23" s="283"/>
    </row>
    <row r="24" spans="1:11" x14ac:dyDescent="0.3">
      <c r="A24" s="185" t="s">
        <v>248</v>
      </c>
      <c r="B24" s="285" t="s">
        <v>380</v>
      </c>
      <c r="C24" s="283"/>
      <c r="D24" s="283"/>
      <c r="E24" s="283"/>
      <c r="F24" s="283"/>
      <c r="G24" s="283"/>
      <c r="H24" s="283"/>
      <c r="I24" s="283"/>
      <c r="J24" s="283"/>
      <c r="K24" s="283"/>
    </row>
    <row r="25" spans="1:11" ht="84.6" customHeight="1" x14ac:dyDescent="0.3">
      <c r="A25" s="1077" t="s">
        <v>378</v>
      </c>
      <c r="B25" s="276" t="s">
        <v>770</v>
      </c>
      <c r="C25" s="283"/>
      <c r="D25" s="283"/>
      <c r="E25" s="283"/>
      <c r="F25" s="283"/>
      <c r="G25" s="283"/>
      <c r="H25" s="283"/>
      <c r="I25" s="283"/>
      <c r="J25" s="283"/>
      <c r="K25" s="283"/>
    </row>
    <row r="26" spans="1:11" s="239" customFormat="1" ht="65.400000000000006" customHeight="1" x14ac:dyDescent="0.3">
      <c r="A26" s="1077" t="s">
        <v>1025</v>
      </c>
      <c r="B26" s="276"/>
      <c r="C26" s="119"/>
      <c r="D26" s="119"/>
      <c r="E26" s="119"/>
      <c r="F26" s="119"/>
      <c r="G26" s="119"/>
      <c r="H26" s="119"/>
      <c r="I26" s="119"/>
      <c r="J26" s="119"/>
      <c r="K26" s="119"/>
    </row>
    <row r="27" spans="1:11" ht="44.1" customHeight="1" x14ac:dyDescent="0.3">
      <c r="A27" s="1078" t="s">
        <v>379</v>
      </c>
      <c r="B27" s="187"/>
    </row>
    <row r="28" spans="1:11" x14ac:dyDescent="0.3">
      <c r="A28" s="185" t="s">
        <v>332</v>
      </c>
      <c r="B28" s="186"/>
    </row>
    <row r="29" spans="1:11" x14ac:dyDescent="0.3">
      <c r="A29" s="184" t="s">
        <v>382</v>
      </c>
      <c r="B29" s="1079" t="s">
        <v>392</v>
      </c>
    </row>
    <row r="30" spans="1:11" x14ac:dyDescent="0.3">
      <c r="A30" s="184" t="s">
        <v>393</v>
      </c>
      <c r="B30" s="1079"/>
    </row>
    <row r="31" spans="1:11" x14ac:dyDescent="0.3">
      <c r="A31" s="184" t="s">
        <v>766</v>
      </c>
      <c r="B31" s="1079"/>
    </row>
    <row r="32" spans="1:11" ht="15" thickBot="1" x14ac:dyDescent="0.35">
      <c r="A32" s="188"/>
      <c r="B32" s="189"/>
    </row>
    <row r="35" spans="1:2" x14ac:dyDescent="0.3">
      <c r="A35" s="227" t="s">
        <v>604</v>
      </c>
      <c r="B35" s="226"/>
    </row>
    <row r="36" spans="1:2" ht="28.8" x14ac:dyDescent="0.3">
      <c r="A36" s="1089" t="s">
        <v>1007</v>
      </c>
      <c r="B36" s="226" t="s">
        <v>626</v>
      </c>
    </row>
    <row r="37" spans="1:2" ht="28.8" x14ac:dyDescent="0.3">
      <c r="A37" s="1090"/>
      <c r="B37" s="226" t="s">
        <v>617</v>
      </c>
    </row>
    <row r="38" spans="1:2" x14ac:dyDescent="0.3">
      <c r="A38" s="1090"/>
      <c r="B38" s="236" t="s">
        <v>618</v>
      </c>
    </row>
    <row r="39" spans="1:2" x14ac:dyDescent="0.3">
      <c r="A39" s="1090"/>
      <c r="B39" s="226" t="s">
        <v>609</v>
      </c>
    </row>
    <row r="40" spans="1:2" ht="43.2" x14ac:dyDescent="0.3">
      <c r="A40" s="1090"/>
      <c r="B40" s="226" t="s">
        <v>619</v>
      </c>
    </row>
    <row r="41" spans="1:2" x14ac:dyDescent="0.3">
      <c r="A41" s="1091"/>
      <c r="B41" s="226" t="s">
        <v>1005</v>
      </c>
    </row>
    <row r="42" spans="1:2" ht="28.8" x14ac:dyDescent="0.3">
      <c r="A42" s="1086">
        <v>44256</v>
      </c>
      <c r="B42" s="226" t="s">
        <v>851</v>
      </c>
    </row>
    <row r="43" spans="1:2" ht="28.8" x14ac:dyDescent="0.3">
      <c r="A43" s="1087"/>
      <c r="B43" s="226" t="s">
        <v>852</v>
      </c>
    </row>
    <row r="44" spans="1:2" ht="28.8" x14ac:dyDescent="0.3">
      <c r="A44" s="1087"/>
      <c r="B44" s="226" t="s">
        <v>853</v>
      </c>
    </row>
    <row r="45" spans="1:2" ht="72" x14ac:dyDescent="0.3">
      <c r="A45" s="1087"/>
      <c r="B45" s="226" t="s">
        <v>854</v>
      </c>
    </row>
    <row r="46" spans="1:2" ht="57.6" x14ac:dyDescent="0.3">
      <c r="A46" s="1087"/>
      <c r="B46" s="226" t="s">
        <v>855</v>
      </c>
    </row>
    <row r="47" spans="1:2" x14ac:dyDescent="0.3">
      <c r="A47" s="1088"/>
      <c r="B47" s="226" t="s">
        <v>856</v>
      </c>
    </row>
    <row r="48" spans="1:2" ht="86.4" x14ac:dyDescent="0.3">
      <c r="A48" s="991" t="s">
        <v>998</v>
      </c>
      <c r="B48" s="226" t="s">
        <v>1006</v>
      </c>
    </row>
    <row r="49" spans="1:2" ht="100.8" x14ac:dyDescent="0.3">
      <c r="A49" s="991" t="s">
        <v>1004</v>
      </c>
      <c r="B49" s="226" t="s">
        <v>1029</v>
      </c>
    </row>
  </sheetData>
  <sheetProtection sheet="1" objects="1" scenarios="1" formatColumns="0" formatRows="0"/>
  <mergeCells count="5">
    <mergeCell ref="B16:B17"/>
    <mergeCell ref="B29:B31"/>
    <mergeCell ref="A2:B4"/>
    <mergeCell ref="A42:A47"/>
    <mergeCell ref="A36:A41"/>
  </mergeCells>
  <hyperlinks>
    <hyperlink ref="A19" location="'Vannbehandling - Input'!A1" display="Vannbehandling - Input" xr:uid="{00000000-0004-0000-0000-000001000000}"/>
    <hyperlink ref="A20" location="'Vannbehandling - Resultater'!A1" display="Vannbehandling - Resultater" xr:uid="{00000000-0004-0000-0000-000002000000}"/>
    <hyperlink ref="A22" location="'Transportsystemer - Ressursfane'!A1" display="Transportsystemer - ressursfane" xr:uid="{00000000-0004-0000-0000-000003000000}"/>
    <hyperlink ref="A25" location="'Avløpsbehandling - Input'!A1" display="Avløpsbehandling - Input" xr:uid="{00000000-0004-0000-0000-000005000000}"/>
    <hyperlink ref="A26" location="'Avløp direkteutslipp og biogass'!A1" display="Avløpsbehandling - Direkteutslipp og biogass" xr:uid="{00000000-0004-0000-0000-000006000000}"/>
    <hyperlink ref="A27" location="'Avløpsbehandling-Resultater'!A1" display="Avløpsbehandling - Resultater" xr:uid="{00000000-0004-0000-0000-000007000000}"/>
    <hyperlink ref="A14" location="'Sammendrag klimaregnskap'!A1" display="Sammendrag" xr:uid="{00000000-0004-0000-0000-000008000000}"/>
    <hyperlink ref="A29" location="'Vann og Avløp-utslippsfaktorer'!A1" display="Vann og Avløp" xr:uid="{00000000-0004-0000-0000-000009000000}"/>
    <hyperlink ref="A30" location="'Transportsystemer, faktorer'!A1" display="Ledningsnett" xr:uid="{00000000-0004-0000-0000-00000A000000}"/>
    <hyperlink ref="A31" location="'Avløp direkteutslipp og biogass'!A1" display="Konstanter - metan og lystgassberegninger" xr:uid="{00000000-0004-0000-0000-00000B000000}"/>
    <hyperlink ref="A16" location="'Input KOSTRA regnskapsdata'!A1" display="Input KOSTRA regnskapsdata" xr:uid="{F58624AA-5CB8-4091-9EC9-6C613F729BAF}"/>
  </hyperlinks>
  <pageMargins left="0.7" right="0.7" top="0.75" bottom="0.75" header="0.3" footer="0.3"/>
  <pageSetup paperSize="9"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Ark3">
    <tabColor theme="4"/>
  </sheetPr>
  <dimension ref="A1:Q141"/>
  <sheetViews>
    <sheetView zoomScale="85" zoomScaleNormal="85" workbookViewId="0"/>
  </sheetViews>
  <sheetFormatPr baseColWidth="10" defaultColWidth="11.5546875" defaultRowHeight="14.4" x14ac:dyDescent="0.3"/>
  <cols>
    <col min="1" max="1" width="33.5546875" style="301" bestFit="1" customWidth="1"/>
    <col min="2" max="2" width="14.109375" style="301" bestFit="1" customWidth="1"/>
    <col min="3" max="3" width="18" style="301" bestFit="1" customWidth="1"/>
    <col min="4" max="4" width="11.5546875" style="301"/>
    <col min="5" max="5" width="25.33203125" style="301" bestFit="1" customWidth="1"/>
    <col min="6" max="6" width="17.88671875" style="301" bestFit="1" customWidth="1"/>
    <col min="7" max="7" width="11.33203125" style="301" customWidth="1"/>
    <col min="8" max="14" width="11.5546875" style="301"/>
    <col min="15" max="15" width="33" style="301" bestFit="1" customWidth="1"/>
    <col min="16" max="16" width="15.6640625" style="301" bestFit="1" customWidth="1"/>
    <col min="17" max="17" width="91.33203125" style="301" bestFit="1" customWidth="1"/>
    <col min="18" max="16384" width="11.5546875" style="301"/>
  </cols>
  <sheetData>
    <row r="1" spans="1:17" ht="18.600000000000001" thickBot="1" x14ac:dyDescent="0.4">
      <c r="A1" s="418" t="s">
        <v>332</v>
      </c>
      <c r="B1" s="334"/>
      <c r="C1" s="334"/>
      <c r="D1" s="334"/>
    </row>
    <row r="2" spans="1:17" x14ac:dyDescent="0.3">
      <c r="A2" s="370" t="s">
        <v>278</v>
      </c>
      <c r="B2" s="308" t="s">
        <v>365</v>
      </c>
      <c r="C2" s="308" t="s">
        <v>366</v>
      </c>
      <c r="D2" s="308" t="s">
        <v>367</v>
      </c>
      <c r="E2" s="419"/>
      <c r="G2" s="334" t="s">
        <v>527</v>
      </c>
      <c r="O2" s="370" t="s">
        <v>576</v>
      </c>
      <c r="P2" s="308" t="s">
        <v>325</v>
      </c>
      <c r="Q2" s="311" t="s">
        <v>527</v>
      </c>
    </row>
    <row r="3" spans="1:17" x14ac:dyDescent="0.3">
      <c r="A3" s="420" t="s">
        <v>577</v>
      </c>
      <c r="B3" s="439">
        <f>VLOOKUP(A3,O3:Q5,2,FALSE)</f>
        <v>3.61E-2</v>
      </c>
      <c r="C3" s="421"/>
      <c r="D3" s="444">
        <f t="shared" ref="D3:D8" si="0">IF(C3=0,B3,C3)</f>
        <v>3.61E-2</v>
      </c>
      <c r="E3" s="422" t="s">
        <v>325</v>
      </c>
      <c r="G3" s="440" t="str">
        <f>VLOOKUP(A3,O3:Q5,3,FALSE)</f>
        <v xml:space="preserve">Ecoinvent v3.4 &amp; EUROSTAT (snitt for 2014-2018) og ENTSO-E produksjon og importstatistikk. </v>
      </c>
      <c r="O3" s="373" t="s">
        <v>577</v>
      </c>
      <c r="P3" s="423">
        <v>3.61E-2</v>
      </c>
      <c r="Q3" s="316" t="s">
        <v>597</v>
      </c>
    </row>
    <row r="4" spans="1:17" x14ac:dyDescent="0.3">
      <c r="A4" s="373" t="s">
        <v>488</v>
      </c>
      <c r="B4" s="750">
        <v>0.182</v>
      </c>
      <c r="C4" s="421"/>
      <c r="D4" s="445">
        <f t="shared" si="0"/>
        <v>0.182</v>
      </c>
      <c r="E4" s="316" t="s">
        <v>325</v>
      </c>
      <c r="G4" s="301" t="s">
        <v>929</v>
      </c>
      <c r="J4" s="394"/>
      <c r="O4" s="373" t="s">
        <v>578</v>
      </c>
      <c r="P4" s="423">
        <v>0.128</v>
      </c>
      <c r="Q4" s="316" t="s">
        <v>597</v>
      </c>
    </row>
    <row r="5" spans="1:17" ht="15" thickBot="1" x14ac:dyDescent="0.35">
      <c r="A5" s="373" t="s">
        <v>308</v>
      </c>
      <c r="B5" s="750">
        <v>0.27268975080000002</v>
      </c>
      <c r="C5" s="421"/>
      <c r="D5" s="445">
        <f t="shared" si="0"/>
        <v>0.27268975080000002</v>
      </c>
      <c r="E5" s="316" t="s">
        <v>325</v>
      </c>
      <c r="G5" s="301" t="s">
        <v>267</v>
      </c>
      <c r="O5" s="365" t="s">
        <v>579</v>
      </c>
      <c r="P5" s="424">
        <v>0</v>
      </c>
      <c r="Q5" s="352"/>
    </row>
    <row r="6" spans="1:17" x14ac:dyDescent="0.3">
      <c r="A6" s="373" t="s">
        <v>764</v>
      </c>
      <c r="B6" s="750">
        <v>0.313</v>
      </c>
      <c r="C6" s="421"/>
      <c r="D6" s="445">
        <f t="shared" si="0"/>
        <v>0.313</v>
      </c>
      <c r="E6" s="316" t="s">
        <v>325</v>
      </c>
      <c r="G6" s="301" t="s">
        <v>267</v>
      </c>
      <c r="O6" s="313"/>
      <c r="P6" s="425"/>
      <c r="Q6" s="313"/>
    </row>
    <row r="7" spans="1:17" x14ac:dyDescent="0.3">
      <c r="A7" s="373" t="s">
        <v>309</v>
      </c>
      <c r="B7" s="750">
        <v>0.3466488996</v>
      </c>
      <c r="C7" s="421"/>
      <c r="D7" s="445">
        <f t="shared" si="0"/>
        <v>0.3466488996</v>
      </c>
      <c r="E7" s="316" t="s">
        <v>325</v>
      </c>
      <c r="G7" s="301" t="s">
        <v>267</v>
      </c>
    </row>
    <row r="8" spans="1:17" ht="15" thickBot="1" x14ac:dyDescent="0.35">
      <c r="A8" s="376" t="s">
        <v>310</v>
      </c>
      <c r="B8" s="751">
        <v>0.248</v>
      </c>
      <c r="C8" s="426"/>
      <c r="D8" s="446">
        <f t="shared" si="0"/>
        <v>0.248</v>
      </c>
      <c r="E8" s="320" t="s">
        <v>325</v>
      </c>
      <c r="G8" s="301" t="s">
        <v>267</v>
      </c>
    </row>
    <row r="9" spans="1:17" ht="15" thickBot="1" x14ac:dyDescent="0.35">
      <c r="D9" s="334"/>
    </row>
    <row r="10" spans="1:17" x14ac:dyDescent="0.3">
      <c r="A10" s="370" t="s">
        <v>384</v>
      </c>
      <c r="B10" s="308"/>
      <c r="C10" s="308"/>
      <c r="D10" s="308"/>
      <c r="E10" s="419"/>
    </row>
    <row r="11" spans="1:17" x14ac:dyDescent="0.3">
      <c r="A11" s="373" t="s">
        <v>21</v>
      </c>
      <c r="B11" s="301">
        <v>170</v>
      </c>
      <c r="C11" s="421"/>
      <c r="D11" s="447">
        <f>IF(C11=0,B11,C11)</f>
        <v>170</v>
      </c>
      <c r="E11" s="316" t="s">
        <v>20</v>
      </c>
      <c r="G11" s="301" t="s">
        <v>569</v>
      </c>
    </row>
    <row r="12" spans="1:17" ht="15" thickBot="1" x14ac:dyDescent="0.35">
      <c r="A12" s="376" t="s">
        <v>22</v>
      </c>
      <c r="B12" s="318">
        <v>269</v>
      </c>
      <c r="C12" s="426"/>
      <c r="D12" s="448">
        <f>IF(C12=0,B12,C12)</f>
        <v>269</v>
      </c>
      <c r="E12" s="320" t="s">
        <v>20</v>
      </c>
      <c r="G12" s="301" t="s">
        <v>568</v>
      </c>
    </row>
    <row r="13" spans="1:17" ht="15" thickBot="1" x14ac:dyDescent="0.35"/>
    <row r="14" spans="1:17" x14ac:dyDescent="0.3">
      <c r="A14" s="370" t="s">
        <v>15</v>
      </c>
      <c r="B14" s="308"/>
      <c r="C14" s="308"/>
      <c r="D14" s="307"/>
      <c r="E14" s="419"/>
    </row>
    <row r="15" spans="1:17" x14ac:dyDescent="0.3">
      <c r="A15" s="373" t="s">
        <v>16</v>
      </c>
      <c r="B15" s="301">
        <v>254</v>
      </c>
      <c r="C15" s="421"/>
      <c r="D15" s="449">
        <f>IF(C15=0,B15,C15)</f>
        <v>254</v>
      </c>
      <c r="E15" s="422" t="s">
        <v>20</v>
      </c>
      <c r="G15" s="301" t="s">
        <v>570</v>
      </c>
    </row>
    <row r="16" spans="1:17" x14ac:dyDescent="0.3">
      <c r="A16" s="373" t="s">
        <v>17</v>
      </c>
      <c r="B16" s="301">
        <v>446</v>
      </c>
      <c r="C16" s="421"/>
      <c r="D16" s="447">
        <f>IF(C16=0,B16,C16)</f>
        <v>446</v>
      </c>
      <c r="E16" s="316" t="s">
        <v>20</v>
      </c>
      <c r="G16" s="301" t="s">
        <v>571</v>
      </c>
    </row>
    <row r="17" spans="1:7" x14ac:dyDescent="0.3">
      <c r="A17" s="373" t="s">
        <v>18</v>
      </c>
      <c r="B17" s="301">
        <v>27</v>
      </c>
      <c r="C17" s="421"/>
      <c r="D17" s="447">
        <f>IF(C17=0,B17,C17)</f>
        <v>27</v>
      </c>
      <c r="E17" s="316" t="s">
        <v>20</v>
      </c>
      <c r="G17" s="301" t="s">
        <v>572</v>
      </c>
    </row>
    <row r="18" spans="1:7" x14ac:dyDescent="0.3">
      <c r="A18" s="373" t="s">
        <v>19</v>
      </c>
      <c r="B18" s="301">
        <v>12.6</v>
      </c>
      <c r="C18" s="421"/>
      <c r="D18" s="447">
        <f>IF(C18=0,B18,C18)</f>
        <v>12.6</v>
      </c>
      <c r="E18" s="316" t="s">
        <v>20</v>
      </c>
      <c r="G18" s="301" t="s">
        <v>573</v>
      </c>
    </row>
    <row r="19" spans="1:7" ht="15" thickBot="1" x14ac:dyDescent="0.35">
      <c r="A19" s="376" t="s">
        <v>574</v>
      </c>
      <c r="B19" s="318">
        <v>11</v>
      </c>
      <c r="C19" s="427"/>
      <c r="D19" s="450">
        <f>IF(C19=0,B19,C19)</f>
        <v>11</v>
      </c>
      <c r="E19" s="320" t="s">
        <v>20</v>
      </c>
      <c r="G19" s="301" t="s">
        <v>575</v>
      </c>
    </row>
    <row r="20" spans="1:7" x14ac:dyDescent="0.3">
      <c r="D20" s="334"/>
    </row>
    <row r="21" spans="1:7" ht="15" thickBot="1" x14ac:dyDescent="0.35">
      <c r="D21" s="334"/>
    </row>
    <row r="22" spans="1:7" x14ac:dyDescent="0.3">
      <c r="A22" s="370" t="s">
        <v>27</v>
      </c>
      <c r="B22" s="308"/>
      <c r="C22" s="308"/>
      <c r="D22" s="308"/>
      <c r="E22" s="419"/>
    </row>
    <row r="23" spans="1:7" x14ac:dyDescent="0.3">
      <c r="A23" s="373" t="s">
        <v>385</v>
      </c>
      <c r="B23" s="301">
        <v>1</v>
      </c>
      <c r="C23" s="421"/>
      <c r="D23" s="451">
        <f>IF(C23=0,B23,C23)</f>
        <v>1</v>
      </c>
      <c r="E23" s="422" t="s">
        <v>30</v>
      </c>
      <c r="G23" s="301" t="s">
        <v>685</v>
      </c>
    </row>
    <row r="24" spans="1:7" x14ac:dyDescent="0.3">
      <c r="A24" s="373" t="s">
        <v>28</v>
      </c>
      <c r="B24" s="301">
        <v>28</v>
      </c>
      <c r="C24" s="421"/>
      <c r="D24" s="452">
        <f>IF(C24=0,B24,C24)</f>
        <v>28</v>
      </c>
      <c r="E24" s="316" t="s">
        <v>30</v>
      </c>
      <c r="G24" s="301" t="s">
        <v>685</v>
      </c>
    </row>
    <row r="25" spans="1:7" ht="15" thickBot="1" x14ac:dyDescent="0.35">
      <c r="A25" s="376" t="s">
        <v>29</v>
      </c>
      <c r="B25" s="318">
        <v>265</v>
      </c>
      <c r="C25" s="426"/>
      <c r="D25" s="453">
        <f>IF(C25=0,B25,C25)</f>
        <v>265</v>
      </c>
      <c r="E25" s="320" t="s">
        <v>30</v>
      </c>
      <c r="G25" s="301" t="s">
        <v>685</v>
      </c>
    </row>
    <row r="26" spans="1:7" ht="15" thickBot="1" x14ac:dyDescent="0.35">
      <c r="D26" s="334"/>
    </row>
    <row r="27" spans="1:7" x14ac:dyDescent="0.3">
      <c r="A27" s="370" t="s">
        <v>316</v>
      </c>
      <c r="B27" s="308"/>
      <c r="C27" s="308"/>
      <c r="D27" s="308"/>
      <c r="E27" s="419"/>
    </row>
    <row r="28" spans="1:7" x14ac:dyDescent="0.3">
      <c r="A28" s="373" t="s">
        <v>317</v>
      </c>
      <c r="B28" s="301">
        <v>669</v>
      </c>
      <c r="C28" s="421"/>
      <c r="D28" s="449">
        <f t="shared" ref="D28:D34" si="1">IF(C28=0,B28,C28)</f>
        <v>669</v>
      </c>
      <c r="E28" s="422" t="s">
        <v>20</v>
      </c>
      <c r="G28" s="301" t="s">
        <v>525</v>
      </c>
    </row>
    <row r="29" spans="1:7" x14ac:dyDescent="0.3">
      <c r="A29" s="373" t="s">
        <v>318</v>
      </c>
      <c r="B29" s="301">
        <v>1250</v>
      </c>
      <c r="C29" s="421"/>
      <c r="D29" s="447">
        <f t="shared" si="1"/>
        <v>1250</v>
      </c>
      <c r="E29" s="316" t="s">
        <v>20</v>
      </c>
      <c r="G29" s="301" t="s">
        <v>526</v>
      </c>
    </row>
    <row r="30" spans="1:7" x14ac:dyDescent="0.3">
      <c r="A30" s="373" t="s">
        <v>319</v>
      </c>
      <c r="B30" s="301">
        <v>2146</v>
      </c>
      <c r="C30" s="421"/>
      <c r="D30" s="447">
        <f t="shared" si="1"/>
        <v>2146</v>
      </c>
      <c r="E30" s="316" t="s">
        <v>20</v>
      </c>
      <c r="G30" s="301" t="s">
        <v>268</v>
      </c>
    </row>
    <row r="31" spans="1:7" x14ac:dyDescent="0.3">
      <c r="A31" s="373" t="s">
        <v>257</v>
      </c>
      <c r="B31" s="301">
        <v>2146</v>
      </c>
      <c r="C31" s="421"/>
      <c r="D31" s="447">
        <f t="shared" si="1"/>
        <v>2146</v>
      </c>
      <c r="E31" s="316" t="s">
        <v>20</v>
      </c>
      <c r="G31" s="301" t="s">
        <v>268</v>
      </c>
    </row>
    <row r="32" spans="1:7" x14ac:dyDescent="0.3">
      <c r="A32" s="373" t="s">
        <v>320</v>
      </c>
      <c r="B32" s="301">
        <v>1339</v>
      </c>
      <c r="C32" s="421"/>
      <c r="D32" s="447">
        <f t="shared" si="1"/>
        <v>1339</v>
      </c>
      <c r="E32" s="316" t="s">
        <v>20</v>
      </c>
      <c r="G32" s="301" t="s">
        <v>268</v>
      </c>
    </row>
    <row r="33" spans="1:7" x14ac:dyDescent="0.3">
      <c r="A33" s="373" t="s">
        <v>281</v>
      </c>
      <c r="B33" s="301">
        <v>1370</v>
      </c>
      <c r="C33" s="421"/>
      <c r="D33" s="447">
        <f t="shared" si="1"/>
        <v>1370</v>
      </c>
      <c r="E33" s="316" t="s">
        <v>20</v>
      </c>
      <c r="G33" s="301" t="s">
        <v>528</v>
      </c>
    </row>
    <row r="34" spans="1:7" ht="15" thickBot="1" x14ac:dyDescent="0.35">
      <c r="A34" s="376" t="s">
        <v>282</v>
      </c>
      <c r="B34" s="318">
        <v>1910</v>
      </c>
      <c r="C34" s="426"/>
      <c r="D34" s="448">
        <f t="shared" si="1"/>
        <v>1910</v>
      </c>
      <c r="E34" s="320" t="s">
        <v>20</v>
      </c>
      <c r="G34" s="301" t="s">
        <v>529</v>
      </c>
    </row>
    <row r="35" spans="1:7" ht="15" thickBot="1" x14ac:dyDescent="0.35">
      <c r="D35" s="334"/>
    </row>
    <row r="36" spans="1:7" x14ac:dyDescent="0.3">
      <c r="A36" s="370" t="s">
        <v>401</v>
      </c>
      <c r="B36" s="488"/>
      <c r="C36" s="308"/>
      <c r="D36" s="308"/>
      <c r="E36" s="419"/>
    </row>
    <row r="37" spans="1:7" x14ac:dyDescent="0.3">
      <c r="A37" s="429" t="s">
        <v>608</v>
      </c>
      <c r="B37" s="752"/>
      <c r="C37" s="430"/>
      <c r="D37" s="314"/>
      <c r="E37" s="316"/>
    </row>
    <row r="38" spans="1:7" ht="15.6" x14ac:dyDescent="0.35">
      <c r="A38" s="387" t="s">
        <v>605</v>
      </c>
      <c r="B38" s="753">
        <v>576</v>
      </c>
      <c r="C38" s="431"/>
      <c r="D38" s="447">
        <f>IF(C38=0,B38,C38)</f>
        <v>576</v>
      </c>
      <c r="E38" s="316" t="s">
        <v>606</v>
      </c>
      <c r="G38" s="301" t="s">
        <v>607</v>
      </c>
    </row>
    <row r="39" spans="1:7" ht="15.6" x14ac:dyDescent="0.35">
      <c r="A39" s="387" t="s">
        <v>620</v>
      </c>
      <c r="B39" s="753">
        <v>320</v>
      </c>
      <c r="C39" s="431"/>
      <c r="D39" s="447">
        <f>IF(C39=0,B39,C39)</f>
        <v>320</v>
      </c>
      <c r="E39" s="316" t="s">
        <v>740</v>
      </c>
      <c r="G39" s="301" t="s">
        <v>621</v>
      </c>
    </row>
    <row r="40" spans="1:7" ht="15.6" x14ac:dyDescent="0.35">
      <c r="A40" s="432" t="s">
        <v>37</v>
      </c>
      <c r="B40" s="712"/>
      <c r="C40" s="431"/>
      <c r="D40" s="371"/>
      <c r="E40" s="316"/>
    </row>
    <row r="41" spans="1:7" x14ac:dyDescent="0.3">
      <c r="A41" s="373" t="s">
        <v>272</v>
      </c>
      <c r="B41" s="313">
        <v>304</v>
      </c>
      <c r="C41" s="428"/>
      <c r="D41" s="447">
        <f>IF(C41=0,B41,C41)</f>
        <v>304</v>
      </c>
      <c r="E41" s="316" t="s">
        <v>271</v>
      </c>
      <c r="G41" s="301" t="s">
        <v>268</v>
      </c>
    </row>
    <row r="42" spans="1:7" ht="15.6" x14ac:dyDescent="0.35">
      <c r="A42" s="432" t="s">
        <v>39</v>
      </c>
      <c r="B42" s="712"/>
      <c r="C42" s="431"/>
      <c r="D42" s="371"/>
      <c r="E42" s="316"/>
    </row>
    <row r="43" spans="1:7" x14ac:dyDescent="0.3">
      <c r="A43" s="373" t="s">
        <v>38</v>
      </c>
      <c r="B43" s="313">
        <v>82</v>
      </c>
      <c r="C43" s="428"/>
      <c r="D43" s="447">
        <f>IF(C43=0,B43,C43)</f>
        <v>82</v>
      </c>
      <c r="E43" s="316" t="s">
        <v>273</v>
      </c>
      <c r="G43" s="301" t="s">
        <v>268</v>
      </c>
    </row>
    <row r="44" spans="1:7" ht="15.6" x14ac:dyDescent="0.35">
      <c r="A44" s="432" t="s">
        <v>40</v>
      </c>
      <c r="B44" s="712"/>
      <c r="C44" s="431"/>
      <c r="D44" s="371"/>
      <c r="E44" s="316"/>
    </row>
    <row r="45" spans="1:7" x14ac:dyDescent="0.3">
      <c r="A45" s="373" t="s">
        <v>41</v>
      </c>
      <c r="B45" s="313">
        <v>153</v>
      </c>
      <c r="C45" s="428"/>
      <c r="D45" s="447">
        <f>IF(C45=0,B45,C45)</f>
        <v>153</v>
      </c>
      <c r="E45" s="316" t="s">
        <v>273</v>
      </c>
      <c r="G45" s="301" t="s">
        <v>268</v>
      </c>
    </row>
    <row r="46" spans="1:7" ht="15.6" x14ac:dyDescent="0.35">
      <c r="A46" s="432" t="s">
        <v>42</v>
      </c>
      <c r="B46" s="712"/>
      <c r="C46" s="431"/>
      <c r="D46" s="371"/>
      <c r="E46" s="316"/>
    </row>
    <row r="47" spans="1:7" x14ac:dyDescent="0.3">
      <c r="A47" s="373" t="s">
        <v>383</v>
      </c>
      <c r="B47" s="313">
        <v>145</v>
      </c>
      <c r="C47" s="428"/>
      <c r="D47" s="447">
        <f>IF(C47=0,B47,C47)</f>
        <v>145</v>
      </c>
      <c r="E47" s="316" t="s">
        <v>273</v>
      </c>
      <c r="G47" s="301" t="s">
        <v>268</v>
      </c>
    </row>
    <row r="48" spans="1:7" x14ac:dyDescent="0.3">
      <c r="A48" s="373" t="s">
        <v>43</v>
      </c>
      <c r="B48" s="313">
        <v>145</v>
      </c>
      <c r="C48" s="428"/>
      <c r="D48" s="447">
        <f>IF(C48=0,B48,C48)</f>
        <v>145</v>
      </c>
      <c r="E48" s="316" t="s">
        <v>273</v>
      </c>
      <c r="G48" s="301" t="s">
        <v>269</v>
      </c>
    </row>
    <row r="49" spans="1:7" x14ac:dyDescent="0.3">
      <c r="A49" s="432" t="s">
        <v>502</v>
      </c>
      <c r="B49" s="313"/>
      <c r="C49" s="428"/>
      <c r="D49" s="371"/>
      <c r="E49" s="316"/>
    </row>
    <row r="50" spans="1:7" x14ac:dyDescent="0.3">
      <c r="A50" s="373" t="s">
        <v>503</v>
      </c>
      <c r="B50" s="313">
        <v>2790</v>
      </c>
      <c r="C50" s="428"/>
      <c r="D50" s="447">
        <f>IF(C50=0,B50,C50)</f>
        <v>2790</v>
      </c>
      <c r="E50" s="316" t="s">
        <v>273</v>
      </c>
      <c r="G50" s="301" t="s">
        <v>594</v>
      </c>
    </row>
    <row r="51" spans="1:7" ht="15" thickBot="1" x14ac:dyDescent="0.35">
      <c r="A51" s="376" t="s">
        <v>602</v>
      </c>
      <c r="B51" s="318">
        <v>2560</v>
      </c>
      <c r="C51" s="426"/>
      <c r="D51" s="448">
        <f>IF(C51=0,B51,C51)</f>
        <v>2560</v>
      </c>
      <c r="E51" s="320" t="s">
        <v>273</v>
      </c>
      <c r="G51" s="301" t="s">
        <v>601</v>
      </c>
    </row>
    <row r="52" spans="1:7" ht="15" thickBot="1" x14ac:dyDescent="0.35">
      <c r="D52" s="334"/>
    </row>
    <row r="53" spans="1:7" x14ac:dyDescent="0.3">
      <c r="A53" s="433" t="s">
        <v>44</v>
      </c>
      <c r="B53" s="434"/>
      <c r="C53" s="434"/>
      <c r="D53" s="308"/>
      <c r="E53" s="419"/>
    </row>
    <row r="54" spans="1:7" ht="15" thickBot="1" x14ac:dyDescent="0.35">
      <c r="A54" s="376" t="s">
        <v>45</v>
      </c>
      <c r="B54" s="318">
        <v>420</v>
      </c>
      <c r="C54" s="435"/>
      <c r="D54" s="450">
        <f t="shared" ref="D54" si="2">IF(C54=0,B54,C54)</f>
        <v>420</v>
      </c>
      <c r="E54" s="320" t="s">
        <v>20</v>
      </c>
      <c r="G54" s="301" t="s">
        <v>268</v>
      </c>
    </row>
    <row r="55" spans="1:7" ht="15" thickBot="1" x14ac:dyDescent="0.35">
      <c r="D55" s="334"/>
    </row>
    <row r="56" spans="1:7" x14ac:dyDescent="0.3">
      <c r="A56" s="433" t="s">
        <v>46</v>
      </c>
      <c r="B56" s="434"/>
      <c r="C56" s="434"/>
      <c r="D56" s="308"/>
      <c r="E56" s="419"/>
    </row>
    <row r="57" spans="1:7" x14ac:dyDescent="0.3">
      <c r="A57" s="373" t="s">
        <v>47</v>
      </c>
      <c r="B57" s="301">
        <v>455</v>
      </c>
      <c r="C57" s="421"/>
      <c r="D57" s="449">
        <f t="shared" ref="D57:D60" si="3">IF(C57=0,B57,C57)</f>
        <v>455</v>
      </c>
      <c r="E57" s="422" t="s">
        <v>20</v>
      </c>
      <c r="G57" s="301" t="s">
        <v>268</v>
      </c>
    </row>
    <row r="58" spans="1:7" x14ac:dyDescent="0.3">
      <c r="A58" s="373" t="s">
        <v>48</v>
      </c>
      <c r="B58" s="301">
        <v>379</v>
      </c>
      <c r="C58" s="421"/>
      <c r="D58" s="447">
        <f t="shared" si="3"/>
        <v>379</v>
      </c>
      <c r="E58" s="316" t="s">
        <v>20</v>
      </c>
      <c r="G58" s="301" t="s">
        <v>268</v>
      </c>
    </row>
    <row r="59" spans="1:7" x14ac:dyDescent="0.3">
      <c r="A59" s="373" t="s">
        <v>49</v>
      </c>
      <c r="B59" s="301">
        <v>470</v>
      </c>
      <c r="C59" s="421"/>
      <c r="D59" s="447">
        <f t="shared" si="3"/>
        <v>470</v>
      </c>
      <c r="E59" s="316" t="s">
        <v>20</v>
      </c>
      <c r="G59" s="301" t="s">
        <v>268</v>
      </c>
    </row>
    <row r="60" spans="1:7" ht="15" thickBot="1" x14ac:dyDescent="0.35">
      <c r="A60" s="376" t="s">
        <v>50</v>
      </c>
      <c r="B60" s="318">
        <v>110</v>
      </c>
      <c r="C60" s="426"/>
      <c r="D60" s="448">
        <f t="shared" si="3"/>
        <v>110</v>
      </c>
      <c r="E60" s="320" t="s">
        <v>20</v>
      </c>
      <c r="G60" s="301" t="s">
        <v>258</v>
      </c>
    </row>
    <row r="61" spans="1:7" ht="15" thickBot="1" x14ac:dyDescent="0.35">
      <c r="D61" s="334"/>
    </row>
    <row r="62" spans="1:7" x14ac:dyDescent="0.3">
      <c r="A62" s="436" t="s">
        <v>404</v>
      </c>
      <c r="B62" s="434"/>
      <c r="C62" s="434"/>
      <c r="D62" s="308"/>
      <c r="E62" s="419"/>
    </row>
    <row r="63" spans="1:7" x14ac:dyDescent="0.3">
      <c r="A63" s="373" t="s">
        <v>303</v>
      </c>
      <c r="B63" s="301">
        <v>1130</v>
      </c>
      <c r="C63" s="421"/>
      <c r="D63" s="449">
        <f t="shared" ref="D63:D67" si="4">IF(C63=0,B63,C63)</f>
        <v>1130</v>
      </c>
      <c r="E63" s="422" t="s">
        <v>20</v>
      </c>
      <c r="G63" s="301" t="s">
        <v>531</v>
      </c>
    </row>
    <row r="64" spans="1:7" ht="15.6" x14ac:dyDescent="0.35">
      <c r="A64" s="373" t="s">
        <v>304</v>
      </c>
      <c r="B64" s="301">
        <v>871</v>
      </c>
      <c r="C64" s="421"/>
      <c r="D64" s="447">
        <f t="shared" si="4"/>
        <v>871</v>
      </c>
      <c r="E64" s="316" t="s">
        <v>20</v>
      </c>
      <c r="G64" s="301" t="s">
        <v>530</v>
      </c>
    </row>
    <row r="65" spans="1:7" ht="15.6" x14ac:dyDescent="0.35">
      <c r="A65" s="373" t="s">
        <v>306</v>
      </c>
      <c r="B65" s="301">
        <v>12.6</v>
      </c>
      <c r="C65" s="421"/>
      <c r="D65" s="447">
        <f t="shared" si="4"/>
        <v>12.6</v>
      </c>
      <c r="E65" s="316" t="s">
        <v>20</v>
      </c>
      <c r="G65" s="301" t="s">
        <v>573</v>
      </c>
    </row>
    <row r="66" spans="1:7" x14ac:dyDescent="0.3">
      <c r="A66" s="373" t="s">
        <v>305</v>
      </c>
      <c r="B66" s="301">
        <v>403</v>
      </c>
      <c r="C66" s="421"/>
      <c r="D66" s="447">
        <f t="shared" si="4"/>
        <v>403</v>
      </c>
      <c r="E66" s="316" t="s">
        <v>20</v>
      </c>
      <c r="G66" s="301" t="s">
        <v>541</v>
      </c>
    </row>
    <row r="67" spans="1:7" ht="15" thickBot="1" x14ac:dyDescent="0.35">
      <c r="A67" s="376" t="s">
        <v>542</v>
      </c>
      <c r="B67" s="754">
        <v>241.8</v>
      </c>
      <c r="C67" s="426"/>
      <c r="D67" s="455">
        <f t="shared" si="4"/>
        <v>241.8</v>
      </c>
      <c r="E67" s="320" t="s">
        <v>20</v>
      </c>
      <c r="G67" s="301" t="s">
        <v>541</v>
      </c>
    </row>
    <row r="68" spans="1:7" ht="15" thickBot="1" x14ac:dyDescent="0.35">
      <c r="A68" s="334" t="s">
        <v>391</v>
      </c>
      <c r="D68" s="334"/>
    </row>
    <row r="69" spans="1:7" x14ac:dyDescent="0.3">
      <c r="A69" s="436" t="s">
        <v>314</v>
      </c>
      <c r="B69" s="434"/>
      <c r="C69" s="434"/>
      <c r="D69" s="308"/>
      <c r="E69" s="419"/>
    </row>
    <row r="70" spans="1:7" x14ac:dyDescent="0.3">
      <c r="A70" s="387" t="s">
        <v>622</v>
      </c>
      <c r="B70" s="753">
        <v>2880</v>
      </c>
      <c r="C70" s="428"/>
      <c r="D70" s="447">
        <f t="shared" ref="D70:D88" si="5">IF(C70=0,B70,C70)</f>
        <v>2880</v>
      </c>
      <c r="E70" s="316" t="s">
        <v>20</v>
      </c>
      <c r="G70" s="301" t="s">
        <v>623</v>
      </c>
    </row>
    <row r="71" spans="1:7" x14ac:dyDescent="0.3">
      <c r="A71" s="373" t="s">
        <v>909</v>
      </c>
      <c r="B71" s="313">
        <v>1130</v>
      </c>
      <c r="C71" s="428"/>
      <c r="D71" s="447">
        <f t="shared" si="5"/>
        <v>1130</v>
      </c>
      <c r="E71" s="316" t="s">
        <v>20</v>
      </c>
      <c r="G71" s="301" t="s">
        <v>268</v>
      </c>
    </row>
    <row r="72" spans="1:7" x14ac:dyDescent="0.3">
      <c r="A72" s="373" t="s">
        <v>910</v>
      </c>
      <c r="B72" s="313">
        <v>3390</v>
      </c>
      <c r="C72" s="428"/>
      <c r="D72" s="447">
        <f t="shared" si="5"/>
        <v>3390</v>
      </c>
      <c r="E72" s="316" t="s">
        <v>20</v>
      </c>
      <c r="G72" s="301" t="s">
        <v>268</v>
      </c>
    </row>
    <row r="73" spans="1:7" x14ac:dyDescent="0.3">
      <c r="A73" s="373" t="s">
        <v>911</v>
      </c>
      <c r="B73" s="313">
        <v>932</v>
      </c>
      <c r="C73" s="428"/>
      <c r="D73" s="447">
        <f t="shared" si="5"/>
        <v>932</v>
      </c>
      <c r="E73" s="316" t="s">
        <v>20</v>
      </c>
      <c r="G73" s="301" t="s">
        <v>928</v>
      </c>
    </row>
    <row r="74" spans="1:7" x14ac:dyDescent="0.3">
      <c r="A74" s="373" t="s">
        <v>930</v>
      </c>
      <c r="B74" s="313">
        <v>2810</v>
      </c>
      <c r="C74" s="428"/>
      <c r="D74" s="447">
        <f t="shared" si="5"/>
        <v>2810</v>
      </c>
      <c r="E74" s="316" t="s">
        <v>20</v>
      </c>
      <c r="G74" s="301" t="s">
        <v>931</v>
      </c>
    </row>
    <row r="75" spans="1:7" x14ac:dyDescent="0.3">
      <c r="A75" s="373" t="s">
        <v>386</v>
      </c>
      <c r="B75" s="313">
        <v>1000</v>
      </c>
      <c r="C75" s="428"/>
      <c r="D75" s="447">
        <f t="shared" ref="D75:D83" si="6">IF(C75=0,B75,C75)</f>
        <v>1000</v>
      </c>
      <c r="E75" s="316" t="s">
        <v>20</v>
      </c>
      <c r="G75" s="301" t="s">
        <v>532</v>
      </c>
    </row>
    <row r="76" spans="1:7" ht="15.6" x14ac:dyDescent="0.35">
      <c r="A76" s="373" t="s">
        <v>297</v>
      </c>
      <c r="B76" s="313">
        <v>1200</v>
      </c>
      <c r="C76" s="428"/>
      <c r="D76" s="447">
        <f t="shared" si="6"/>
        <v>1200</v>
      </c>
      <c r="E76" s="316" t="s">
        <v>20</v>
      </c>
      <c r="G76" s="301" t="s">
        <v>533</v>
      </c>
    </row>
    <row r="77" spans="1:7" x14ac:dyDescent="0.3">
      <c r="A77" s="373" t="s">
        <v>299</v>
      </c>
      <c r="B77" s="313">
        <v>119</v>
      </c>
      <c r="C77" s="428"/>
      <c r="D77" s="447">
        <f t="shared" si="6"/>
        <v>119</v>
      </c>
      <c r="E77" s="316" t="s">
        <v>20</v>
      </c>
      <c r="G77" s="301" t="s">
        <v>260</v>
      </c>
    </row>
    <row r="78" spans="1:7" x14ac:dyDescent="0.3">
      <c r="A78" s="373" t="s">
        <v>500</v>
      </c>
      <c r="B78" s="313">
        <v>1310</v>
      </c>
      <c r="C78" s="428"/>
      <c r="D78" s="447">
        <f t="shared" si="6"/>
        <v>1310</v>
      </c>
      <c r="E78" s="316" t="s">
        <v>501</v>
      </c>
      <c r="G78" s="301" t="s">
        <v>534</v>
      </c>
    </row>
    <row r="79" spans="1:7" x14ac:dyDescent="0.3">
      <c r="A79" s="373" t="s">
        <v>566</v>
      </c>
      <c r="B79" s="313">
        <v>780</v>
      </c>
      <c r="C79" s="428"/>
      <c r="D79" s="447">
        <f t="shared" si="6"/>
        <v>780</v>
      </c>
      <c r="E79" s="316" t="s">
        <v>501</v>
      </c>
      <c r="G79" s="301" t="s">
        <v>567</v>
      </c>
    </row>
    <row r="80" spans="1:7" x14ac:dyDescent="0.3">
      <c r="A80" s="373" t="s">
        <v>286</v>
      </c>
      <c r="B80" s="313">
        <v>4160</v>
      </c>
      <c r="C80" s="428"/>
      <c r="D80" s="447">
        <f t="shared" si="6"/>
        <v>4160</v>
      </c>
      <c r="E80" s="316" t="s">
        <v>20</v>
      </c>
      <c r="G80" s="301" t="s">
        <v>535</v>
      </c>
    </row>
    <row r="81" spans="1:8" x14ac:dyDescent="0.3">
      <c r="A81" s="373" t="s">
        <v>975</v>
      </c>
      <c r="B81" s="526">
        <f>238/0.47</f>
        <v>506.38297872340428</v>
      </c>
      <c r="C81" s="428"/>
      <c r="D81" s="527">
        <f t="shared" si="6"/>
        <v>506.38297872340428</v>
      </c>
      <c r="E81" s="316" t="s">
        <v>977</v>
      </c>
      <c r="G81" s="301" t="s">
        <v>976</v>
      </c>
    </row>
    <row r="82" spans="1:8" x14ac:dyDescent="0.3">
      <c r="A82" s="373" t="s">
        <v>302</v>
      </c>
      <c r="B82" s="313">
        <v>2420</v>
      </c>
      <c r="C82" s="428"/>
      <c r="D82" s="447">
        <f t="shared" si="6"/>
        <v>2420</v>
      </c>
      <c r="E82" s="316" t="s">
        <v>275</v>
      </c>
      <c r="G82" s="301" t="s">
        <v>536</v>
      </c>
    </row>
    <row r="83" spans="1:8" x14ac:dyDescent="0.3">
      <c r="A83" s="373" t="s">
        <v>23</v>
      </c>
      <c r="B83" s="313">
        <v>2100</v>
      </c>
      <c r="C83" s="437"/>
      <c r="D83" s="454">
        <f t="shared" si="6"/>
        <v>2100</v>
      </c>
      <c r="E83" s="316" t="s">
        <v>20</v>
      </c>
      <c r="G83" s="301" t="s">
        <v>51</v>
      </c>
    </row>
    <row r="84" spans="1:8" x14ac:dyDescent="0.3">
      <c r="A84" s="373" t="s">
        <v>285</v>
      </c>
      <c r="B84" s="313">
        <v>353</v>
      </c>
      <c r="C84" s="428"/>
      <c r="D84" s="454">
        <f t="shared" si="5"/>
        <v>353</v>
      </c>
      <c r="E84" s="316" t="s">
        <v>20</v>
      </c>
      <c r="G84" s="301" t="s">
        <v>371</v>
      </c>
    </row>
    <row r="85" spans="1:8" x14ac:dyDescent="0.3">
      <c r="A85" s="373" t="s">
        <v>287</v>
      </c>
      <c r="B85" s="313">
        <v>777</v>
      </c>
      <c r="C85" s="428"/>
      <c r="D85" s="447">
        <f>IF(C85=0,B85,C85)</f>
        <v>777</v>
      </c>
      <c r="E85" s="316" t="s">
        <v>20</v>
      </c>
      <c r="G85" s="301" t="s">
        <v>537</v>
      </c>
    </row>
    <row r="86" spans="1:8" ht="15.6" x14ac:dyDescent="0.35">
      <c r="A86" s="373" t="s">
        <v>300</v>
      </c>
      <c r="B86" s="313">
        <v>551</v>
      </c>
      <c r="C86" s="428"/>
      <c r="D86" s="447">
        <f t="shared" si="5"/>
        <v>551</v>
      </c>
      <c r="E86" s="316" t="s">
        <v>20</v>
      </c>
      <c r="G86" s="301" t="s">
        <v>259</v>
      </c>
      <c r="H86" s="438" t="s">
        <v>270</v>
      </c>
    </row>
    <row r="87" spans="1:8" ht="14.25" customHeight="1" x14ac:dyDescent="0.3">
      <c r="A87" s="373" t="s">
        <v>301</v>
      </c>
      <c r="B87" s="313">
        <v>1120</v>
      </c>
      <c r="C87" s="428"/>
      <c r="D87" s="447">
        <f>IF(C87=0,B87,C87)</f>
        <v>1120</v>
      </c>
      <c r="E87" s="316" t="s">
        <v>274</v>
      </c>
      <c r="G87" s="301" t="s">
        <v>543</v>
      </c>
    </row>
    <row r="88" spans="1:8" ht="15.6" x14ac:dyDescent="0.35">
      <c r="A88" s="373" t="s">
        <v>298</v>
      </c>
      <c r="B88" s="313">
        <v>10</v>
      </c>
      <c r="C88" s="428"/>
      <c r="D88" s="447">
        <f t="shared" si="5"/>
        <v>10</v>
      </c>
      <c r="E88" s="316" t="s">
        <v>20</v>
      </c>
      <c r="G88" s="301" t="s">
        <v>538</v>
      </c>
    </row>
    <row r="89" spans="1:8" ht="15" thickBot="1" x14ac:dyDescent="0.35">
      <c r="A89" s="376" t="s">
        <v>498</v>
      </c>
      <c r="B89" s="443">
        <f>(0.33*1.14+0.66*0.838)*1000</f>
        <v>929.28</v>
      </c>
      <c r="C89" s="426"/>
      <c r="D89" s="448">
        <f>IF(C89=0,B89,C89)</f>
        <v>929.28</v>
      </c>
      <c r="E89" s="320" t="s">
        <v>499</v>
      </c>
      <c r="G89" s="301" t="s">
        <v>539</v>
      </c>
    </row>
    <row r="91" spans="1:8" x14ac:dyDescent="0.3">
      <c r="A91" s="334"/>
    </row>
    <row r="92" spans="1:8" x14ac:dyDescent="0.3">
      <c r="A92" s="334"/>
    </row>
    <row r="97" s="301" customFormat="1" x14ac:dyDescent="0.3"/>
    <row r="98" s="301" customFormat="1" x14ac:dyDescent="0.3"/>
    <row r="99" s="301" customFormat="1" x14ac:dyDescent="0.3"/>
    <row r="100" s="301" customFormat="1" x14ac:dyDescent="0.3"/>
    <row r="101" s="301" customFormat="1" x14ac:dyDescent="0.3"/>
    <row r="102" s="301" customFormat="1" x14ac:dyDescent="0.3"/>
    <row r="103" s="301" customFormat="1" x14ac:dyDescent="0.3"/>
    <row r="104" s="301" customFormat="1" x14ac:dyDescent="0.3"/>
    <row r="105" s="301" customFormat="1" x14ac:dyDescent="0.3"/>
    <row r="106" s="301" customFormat="1" x14ac:dyDescent="0.3"/>
    <row r="107" s="301" customFormat="1" x14ac:dyDescent="0.3"/>
    <row r="108" s="301" customFormat="1" x14ac:dyDescent="0.3"/>
    <row r="109" s="301" customFormat="1" x14ac:dyDescent="0.3"/>
    <row r="110" s="301" customFormat="1" x14ac:dyDescent="0.3"/>
    <row r="111" s="301" customFormat="1" x14ac:dyDescent="0.3"/>
    <row r="112" s="301" customFormat="1" x14ac:dyDescent="0.3"/>
    <row r="113" s="301" customFormat="1" x14ac:dyDescent="0.3"/>
    <row r="114" s="301" customFormat="1" x14ac:dyDescent="0.3"/>
    <row r="115" s="301" customFormat="1" x14ac:dyDescent="0.3"/>
    <row r="116" s="301" customFormat="1" x14ac:dyDescent="0.3"/>
    <row r="117" s="301" customFormat="1" x14ac:dyDescent="0.3"/>
    <row r="118" s="301" customFormat="1" x14ac:dyDescent="0.3"/>
    <row r="119" s="301" customFormat="1" x14ac:dyDescent="0.3"/>
    <row r="120" s="301" customFormat="1" x14ac:dyDescent="0.3"/>
    <row r="121" s="301" customFormat="1" x14ac:dyDescent="0.3"/>
    <row r="122" s="301" customFormat="1" x14ac:dyDescent="0.3"/>
    <row r="123" s="301" customFormat="1" x14ac:dyDescent="0.3"/>
    <row r="124" s="301" customFormat="1" x14ac:dyDescent="0.3"/>
    <row r="125" s="301" customFormat="1" x14ac:dyDescent="0.3"/>
    <row r="126" s="301" customFormat="1" x14ac:dyDescent="0.3"/>
    <row r="127" s="301" customFormat="1" x14ac:dyDescent="0.3"/>
    <row r="128" s="301" customFormat="1" x14ac:dyDescent="0.3"/>
    <row r="141" spans="1:5" x14ac:dyDescent="0.3">
      <c r="A141" s="388" t="s">
        <v>375</v>
      </c>
      <c r="B141" s="388" t="s">
        <v>381</v>
      </c>
      <c r="E141" s="388"/>
    </row>
  </sheetData>
  <sheetProtection algorithmName="SHA-512" hashValue="XWKFIvWoayitXWT6fN5oyeZuRFegjlwyWLlOt1vrCcYPv7Nco2hepSzRM8H4UCF2WnmFtq8K4qmB3uw5Hm8WqA==" saltValue="p/7/Rh2bQu+8zgCOtt8xYw==" spinCount="100000" sheet="1" objects="1" scenarios="1" formatColumns="0" formatRows="0"/>
  <conditionalFormatting sqref="F3">
    <cfRule type="dataBar" priority="2">
      <dataBar>
        <cfvo type="min"/>
        <cfvo type="max"/>
        <color rgb="FF63C384"/>
      </dataBar>
      <extLst>
        <ext xmlns:x14="http://schemas.microsoft.com/office/spreadsheetml/2009/9/main" uri="{B025F937-C7B1-47D3-B67F-A62EFF666E3E}">
          <x14:id>{E74CBB09-8F15-41C6-9970-03AD2A734F80}</x14:id>
        </ext>
      </extLst>
    </cfRule>
  </conditionalFormatting>
  <conditionalFormatting sqref="D3:D12 D14:D89">
    <cfRule type="dataBar" priority="97">
      <dataBar>
        <cfvo type="min"/>
        <cfvo type="max"/>
        <color rgb="FF63C384"/>
      </dataBar>
      <extLst>
        <ext xmlns:x14="http://schemas.microsoft.com/office/spreadsheetml/2009/9/main" uri="{B025F937-C7B1-47D3-B67F-A62EFF666E3E}">
          <x14:id>{5F01DECF-0B76-458B-AAF6-24D0CA9C0EFA}</x14:id>
        </ext>
      </extLst>
    </cfRule>
  </conditionalFormatting>
  <dataValidations count="1">
    <dataValidation type="list" allowBlank="1" showInputMessage="1" showErrorMessage="1" sqref="A3" xr:uid="{00000000-0002-0000-0C00-000000000000}">
      <formula1>$O$3:$O$5</formula1>
    </dataValidation>
  </dataValidations>
  <hyperlinks>
    <hyperlink ref="A141" location="Innledning!A1" display="Tilbake til forside" xr:uid="{00000000-0004-0000-0C00-000000000000}"/>
    <hyperlink ref="B141" location="Sammendrag!A1" display="Sammendrag" xr:uid="{00000000-0004-0000-0C00-000001000000}"/>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E74CBB09-8F15-41C6-9970-03AD2A734F80}">
            <x14:dataBar minLength="0" maxLength="100" border="1" negativeBarBorderColorSameAsPositive="0">
              <x14:cfvo type="autoMin"/>
              <x14:cfvo type="autoMax"/>
              <x14:borderColor rgb="FF63C384"/>
              <x14:negativeFillColor rgb="FFFF0000"/>
              <x14:negativeBorderColor rgb="FFFF0000"/>
              <x14:axisColor rgb="FF000000"/>
            </x14:dataBar>
          </x14:cfRule>
          <xm:sqref>F3</xm:sqref>
        </x14:conditionalFormatting>
        <x14:conditionalFormatting xmlns:xm="http://schemas.microsoft.com/office/excel/2006/main">
          <x14:cfRule type="dataBar" id="{5F01DECF-0B76-458B-AAF6-24D0CA9C0EFA}">
            <x14:dataBar minLength="0" maxLength="100" border="1" negativeBarBorderColorSameAsPositive="0">
              <x14:cfvo type="autoMin"/>
              <x14:cfvo type="autoMax"/>
              <x14:borderColor rgb="FF63C384"/>
              <x14:negativeFillColor rgb="FFFF0000"/>
              <x14:negativeBorderColor rgb="FFFF0000"/>
              <x14:axisColor rgb="FF000000"/>
            </x14:dataBar>
          </x14:cfRule>
          <xm:sqref>D3:D12 D14:D89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E9BFF-8930-4FDC-8B4E-93516258FF2D}">
  <dimension ref="A1:J91"/>
  <sheetViews>
    <sheetView zoomScaleNormal="100" workbookViewId="0"/>
  </sheetViews>
  <sheetFormatPr baseColWidth="10" defaultColWidth="8.88671875" defaultRowHeight="14.4" x14ac:dyDescent="0.3"/>
  <cols>
    <col min="1" max="1" width="39.44140625" style="301" customWidth="1"/>
    <col min="2" max="2" width="26.33203125" style="301" customWidth="1"/>
    <col min="3" max="4" width="18.6640625" style="301" customWidth="1"/>
    <col min="5" max="5" width="20" style="301" customWidth="1"/>
    <col min="6" max="9" width="18.6640625" style="301" customWidth="1"/>
    <col min="10" max="16384" width="8.88671875" style="301"/>
  </cols>
  <sheetData>
    <row r="1" spans="1:8" ht="21.6" thickBot="1" x14ac:dyDescent="0.45">
      <c r="A1" s="516" t="s">
        <v>971</v>
      </c>
    </row>
    <row r="2" spans="1:8" ht="14.4" customHeight="1" x14ac:dyDescent="0.3">
      <c r="A2" s="1177" t="s">
        <v>978</v>
      </c>
      <c r="B2" s="1178"/>
      <c r="C2" s="1178"/>
      <c r="D2" s="1178"/>
      <c r="E2" s="1178"/>
      <c r="F2" s="1178"/>
      <c r="G2" s="1178"/>
      <c r="H2" s="1179"/>
    </row>
    <row r="3" spans="1:8" x14ac:dyDescent="0.3">
      <c r="A3" s="1180"/>
      <c r="B3" s="1181"/>
      <c r="C3" s="1181"/>
      <c r="D3" s="1181"/>
      <c r="E3" s="1181"/>
      <c r="F3" s="1181"/>
      <c r="G3" s="1181"/>
      <c r="H3" s="1182"/>
    </row>
    <row r="4" spans="1:8" x14ac:dyDescent="0.3">
      <c r="A4" s="1180"/>
      <c r="B4" s="1181"/>
      <c r="C4" s="1181"/>
      <c r="D4" s="1181"/>
      <c r="E4" s="1181"/>
      <c r="F4" s="1181"/>
      <c r="G4" s="1181"/>
      <c r="H4" s="1182"/>
    </row>
    <row r="5" spans="1:8" ht="15" thickBot="1" x14ac:dyDescent="0.35">
      <c r="A5" s="1183"/>
      <c r="B5" s="1184"/>
      <c r="C5" s="1184"/>
      <c r="D5" s="1184"/>
      <c r="E5" s="1184"/>
      <c r="F5" s="1184"/>
      <c r="G5" s="1184"/>
      <c r="H5" s="1185"/>
    </row>
    <row r="6" spans="1:8" ht="15" thickBot="1" x14ac:dyDescent="0.35"/>
    <row r="7" spans="1:8" x14ac:dyDescent="0.3">
      <c r="A7" s="755" t="s">
        <v>857</v>
      </c>
      <c r="B7" s="756" t="s">
        <v>858</v>
      </c>
      <c r="C7" s="334" t="s">
        <v>983</v>
      </c>
    </row>
    <row r="8" spans="1:8" x14ac:dyDescent="0.3">
      <c r="A8" s="757"/>
      <c r="B8" s="758"/>
    </row>
    <row r="9" spans="1:8" x14ac:dyDescent="0.3">
      <c r="A9" s="759" t="s">
        <v>859</v>
      </c>
      <c r="B9" s="760" t="s">
        <v>860</v>
      </c>
      <c r="C9" s="761"/>
      <c r="D9" s="761"/>
      <c r="E9" s="761"/>
      <c r="F9" s="761"/>
      <c r="G9" s="992"/>
      <c r="H9" s="992"/>
    </row>
    <row r="10" spans="1:8" x14ac:dyDescent="0.3">
      <c r="A10" s="762" t="s">
        <v>861</v>
      </c>
      <c r="B10" s="763">
        <v>3</v>
      </c>
      <c r="C10" s="761"/>
      <c r="D10" s="761"/>
      <c r="E10" s="761"/>
      <c r="F10" s="761"/>
      <c r="G10" s="992"/>
      <c r="H10" s="992"/>
    </row>
    <row r="11" spans="1:8" x14ac:dyDescent="0.3">
      <c r="A11" s="762" t="s">
        <v>862</v>
      </c>
      <c r="B11" s="764">
        <v>3.6</v>
      </c>
      <c r="C11" s="765" t="s">
        <v>972</v>
      </c>
      <c r="D11" s="761"/>
      <c r="E11" s="761"/>
      <c r="F11" s="761"/>
      <c r="G11" s="992"/>
      <c r="H11" s="992"/>
    </row>
    <row r="12" spans="1:8" x14ac:dyDescent="0.3">
      <c r="A12" s="762" t="s">
        <v>863</v>
      </c>
      <c r="B12" s="764">
        <v>2.5</v>
      </c>
      <c r="C12" s="765" t="s">
        <v>973</v>
      </c>
      <c r="D12" s="761"/>
      <c r="E12" s="761"/>
      <c r="F12" s="761"/>
      <c r="G12" s="992"/>
      <c r="H12" s="992"/>
    </row>
    <row r="13" spans="1:8" x14ac:dyDescent="0.3">
      <c r="A13" s="762" t="s">
        <v>864</v>
      </c>
      <c r="B13" s="763">
        <v>2</v>
      </c>
      <c r="C13" s="766" t="s">
        <v>979</v>
      </c>
      <c r="D13" s="761"/>
      <c r="E13" s="761"/>
      <c r="F13" s="761"/>
      <c r="G13" s="992"/>
      <c r="H13" s="992"/>
    </row>
    <row r="14" spans="1:8" x14ac:dyDescent="0.3">
      <c r="A14" s="762" t="s">
        <v>865</v>
      </c>
      <c r="B14" s="764">
        <v>0.7</v>
      </c>
      <c r="C14" s="765"/>
      <c r="D14" s="761"/>
      <c r="E14" s="761"/>
      <c r="F14" s="761"/>
      <c r="G14" s="992"/>
      <c r="H14" s="992"/>
    </row>
    <row r="15" spans="1:8" x14ac:dyDescent="0.3">
      <c r="A15" s="762" t="s">
        <v>866</v>
      </c>
      <c r="B15" s="764">
        <v>0.9</v>
      </c>
      <c r="C15" s="765"/>
      <c r="D15" s="761"/>
      <c r="E15" s="761"/>
      <c r="F15" s="761"/>
      <c r="G15" s="992"/>
      <c r="H15" s="992"/>
    </row>
    <row r="16" spans="1:8" x14ac:dyDescent="0.3">
      <c r="A16" s="762" t="s">
        <v>867</v>
      </c>
      <c r="B16" s="764">
        <v>0.7</v>
      </c>
      <c r="C16" s="766"/>
      <c r="D16" s="761"/>
      <c r="E16" s="761"/>
      <c r="F16" s="761"/>
      <c r="G16" s="992"/>
      <c r="H16" s="992"/>
    </row>
    <row r="17" spans="1:8" x14ac:dyDescent="0.3">
      <c r="A17" s="767" t="s">
        <v>896</v>
      </c>
      <c r="B17" s="768"/>
      <c r="C17" s="761"/>
      <c r="D17" s="761"/>
      <c r="E17" s="761"/>
      <c r="F17" s="761"/>
      <c r="G17" s="992"/>
      <c r="H17" s="992"/>
    </row>
    <row r="18" spans="1:8" x14ac:dyDescent="0.3">
      <c r="A18" s="767" t="s">
        <v>897</v>
      </c>
      <c r="B18" s="768"/>
      <c r="E18" s="313"/>
      <c r="F18" s="313"/>
      <c r="G18" s="313"/>
      <c r="H18" s="313"/>
    </row>
    <row r="19" spans="1:8" ht="15" thickBot="1" x14ac:dyDescent="0.35">
      <c r="A19" s="769" t="s">
        <v>898</v>
      </c>
      <c r="B19" s="770"/>
      <c r="E19" s="313"/>
      <c r="F19" s="313"/>
      <c r="G19" s="313"/>
      <c r="H19" s="313"/>
    </row>
    <row r="20" spans="1:8" ht="15" thickBot="1" x14ac:dyDescent="0.35">
      <c r="A20" s="759"/>
      <c r="B20" s="771"/>
    </row>
    <row r="21" spans="1:8" ht="43.2" x14ac:dyDescent="0.3">
      <c r="A21" s="772"/>
      <c r="B21" s="773"/>
      <c r="C21" s="998" t="s">
        <v>913</v>
      </c>
      <c r="D21" s="998" t="s">
        <v>984</v>
      </c>
      <c r="E21" s="774" t="s">
        <v>912</v>
      </c>
      <c r="F21" s="775" t="s">
        <v>914</v>
      </c>
      <c r="G21" s="998" t="s">
        <v>915</v>
      </c>
      <c r="H21" s="774" t="s">
        <v>916</v>
      </c>
    </row>
    <row r="22" spans="1:8" x14ac:dyDescent="0.3">
      <c r="A22" s="776"/>
      <c r="B22" s="777"/>
      <c r="C22" s="778" t="s">
        <v>558</v>
      </c>
      <c r="D22" s="778" t="s">
        <v>559</v>
      </c>
      <c r="E22" s="779" t="s">
        <v>560</v>
      </c>
      <c r="F22" s="780" t="s">
        <v>558</v>
      </c>
      <c r="G22" s="778" t="s">
        <v>559</v>
      </c>
      <c r="H22" s="779" t="s">
        <v>560</v>
      </c>
    </row>
    <row r="23" spans="1:8" x14ac:dyDescent="0.3">
      <c r="A23" s="759" t="s">
        <v>868</v>
      </c>
      <c r="B23" s="781"/>
      <c r="C23" s="782">
        <v>0</v>
      </c>
      <c r="D23" s="782">
        <v>16.399999999999999</v>
      </c>
      <c r="E23" s="783">
        <v>0</v>
      </c>
      <c r="F23" s="784"/>
      <c r="G23" s="509"/>
      <c r="H23" s="510"/>
    </row>
    <row r="24" spans="1:8" x14ac:dyDescent="0.3">
      <c r="A24" s="759" t="s">
        <v>869</v>
      </c>
      <c r="B24" s="760"/>
      <c r="C24" s="761">
        <v>57.9</v>
      </c>
      <c r="D24" s="761">
        <v>0</v>
      </c>
      <c r="E24" s="785">
        <v>0</v>
      </c>
      <c r="F24" s="786"/>
      <c r="G24" s="992"/>
      <c r="H24" s="993"/>
    </row>
    <row r="25" spans="1:8" x14ac:dyDescent="0.3">
      <c r="A25" s="787" t="s">
        <v>899</v>
      </c>
      <c r="B25" s="788"/>
      <c r="C25" s="789">
        <v>100</v>
      </c>
      <c r="D25" s="789"/>
      <c r="E25" s="790"/>
      <c r="F25" s="791"/>
      <c r="G25" s="507"/>
      <c r="H25" s="511"/>
    </row>
    <row r="26" spans="1:8" x14ac:dyDescent="0.3">
      <c r="A26" s="759" t="s">
        <v>870</v>
      </c>
      <c r="B26" s="760"/>
      <c r="C26" s="761"/>
      <c r="D26" s="761"/>
      <c r="E26" s="785"/>
      <c r="F26" s="786"/>
      <c r="G26" s="992"/>
      <c r="H26" s="993"/>
    </row>
    <row r="27" spans="1:8" x14ac:dyDescent="0.3">
      <c r="A27" s="759" t="s">
        <v>871</v>
      </c>
      <c r="B27" s="760"/>
      <c r="C27" s="761"/>
      <c r="D27" s="761"/>
      <c r="E27" s="785"/>
      <c r="F27" s="786">
        <v>17.5</v>
      </c>
      <c r="G27" s="992">
        <v>0</v>
      </c>
      <c r="H27" s="993">
        <v>0</v>
      </c>
    </row>
    <row r="28" spans="1:8" x14ac:dyDescent="0.3">
      <c r="A28" s="762" t="s">
        <v>872</v>
      </c>
      <c r="B28" s="760"/>
      <c r="C28" s="761"/>
      <c r="D28" s="761"/>
      <c r="E28" s="785"/>
      <c r="F28" s="792">
        <v>11.59</v>
      </c>
      <c r="G28" s="992">
        <v>0</v>
      </c>
      <c r="H28" s="993">
        <v>0</v>
      </c>
    </row>
    <row r="29" spans="1:8" ht="15" thickBot="1" x14ac:dyDescent="0.35">
      <c r="A29" s="769" t="s">
        <v>900</v>
      </c>
      <c r="B29" s="793"/>
      <c r="C29" s="794"/>
      <c r="D29" s="794"/>
      <c r="E29" s="795"/>
      <c r="F29" s="796"/>
      <c r="G29" s="996"/>
      <c r="H29" s="482"/>
    </row>
    <row r="30" spans="1:8" ht="15" thickBot="1" x14ac:dyDescent="0.35"/>
    <row r="31" spans="1:8" ht="28.8" x14ac:dyDescent="0.3">
      <c r="A31" s="797" t="s">
        <v>935</v>
      </c>
      <c r="B31" s="798" t="s">
        <v>905</v>
      </c>
      <c r="C31" s="1170" t="s">
        <v>873</v>
      </c>
      <c r="D31" s="1170"/>
      <c r="E31" s="799" t="s">
        <v>908</v>
      </c>
      <c r="F31" s="525" t="s">
        <v>960</v>
      </c>
      <c r="G31" s="311" t="s">
        <v>714</v>
      </c>
    </row>
    <row r="32" spans="1:8" x14ac:dyDescent="0.3">
      <c r="A32" s="800"/>
      <c r="B32" s="778" t="s">
        <v>558</v>
      </c>
      <c r="C32" s="778" t="s">
        <v>559</v>
      </c>
      <c r="D32" s="778" t="s">
        <v>560</v>
      </c>
      <c r="E32" s="405" t="s">
        <v>908</v>
      </c>
      <c r="F32" s="313"/>
      <c r="G32" s="316"/>
    </row>
    <row r="33" spans="1:7" x14ac:dyDescent="0.3">
      <c r="A33" s="801" t="s">
        <v>874</v>
      </c>
      <c r="B33" s="802" t="s">
        <v>860</v>
      </c>
      <c r="C33" s="992" t="s">
        <v>860</v>
      </c>
      <c r="D33" s="802" t="s">
        <v>860</v>
      </c>
      <c r="E33" s="803" t="s">
        <v>860</v>
      </c>
      <c r="F33" s="313"/>
      <c r="G33" s="316"/>
    </row>
    <row r="34" spans="1:7" x14ac:dyDescent="0.3">
      <c r="A34" s="801" t="s">
        <v>875</v>
      </c>
      <c r="B34" s="802">
        <v>0</v>
      </c>
      <c r="C34" s="973">
        <f>'Vann og Avløp-utslippsfaktorer'!D3/3.6*1000</f>
        <v>10.027777777777779</v>
      </c>
      <c r="D34" s="992">
        <v>0</v>
      </c>
      <c r="E34" s="975">
        <f>SUM(C34)</f>
        <v>10.027777777777779</v>
      </c>
      <c r="F34" s="313">
        <v>3.6</v>
      </c>
      <c r="G34" s="316" t="s">
        <v>279</v>
      </c>
    </row>
    <row r="35" spans="1:7" x14ac:dyDescent="0.3">
      <c r="A35" s="804" t="s">
        <v>876</v>
      </c>
      <c r="B35" s="802">
        <v>0</v>
      </c>
      <c r="C35" s="992">
        <v>0</v>
      </c>
      <c r="D35" s="802">
        <v>15.9</v>
      </c>
      <c r="E35" s="976">
        <f t="shared" ref="E35:E49" si="0">SUM(B35:D35)</f>
        <v>15.9</v>
      </c>
      <c r="F35" s="313">
        <v>35.799999999999997</v>
      </c>
      <c r="G35" s="316" t="s">
        <v>184</v>
      </c>
    </row>
    <row r="36" spans="1:7" x14ac:dyDescent="0.3">
      <c r="A36" s="801" t="s">
        <v>877</v>
      </c>
      <c r="B36" s="802">
        <v>0</v>
      </c>
      <c r="C36" s="992">
        <v>0</v>
      </c>
      <c r="D36" s="974">
        <f>50%*D38+50%*D40</f>
        <v>29.400000000000002</v>
      </c>
      <c r="E36" s="976">
        <f t="shared" si="0"/>
        <v>29.400000000000002</v>
      </c>
      <c r="F36" s="313">
        <v>32.799999999999997</v>
      </c>
      <c r="G36" s="316" t="s">
        <v>967</v>
      </c>
    </row>
    <row r="37" spans="1:7" x14ac:dyDescent="0.3">
      <c r="A37" s="801" t="s">
        <v>648</v>
      </c>
      <c r="B37" s="805">
        <v>73.2</v>
      </c>
      <c r="C37" s="992">
        <v>0</v>
      </c>
      <c r="D37" s="802">
        <v>18.899999999999999</v>
      </c>
      <c r="E37" s="976">
        <f t="shared" si="0"/>
        <v>92.1</v>
      </c>
      <c r="F37" s="313">
        <v>35.9</v>
      </c>
      <c r="G37" s="316" t="s">
        <v>967</v>
      </c>
    </row>
    <row r="38" spans="1:7" x14ac:dyDescent="0.3">
      <c r="A38" s="804" t="s">
        <v>878</v>
      </c>
      <c r="B38" s="802">
        <v>0</v>
      </c>
      <c r="C38" s="992">
        <v>0</v>
      </c>
      <c r="D38" s="802">
        <v>11.1</v>
      </c>
      <c r="E38" s="976">
        <f t="shared" si="0"/>
        <v>11.1</v>
      </c>
      <c r="F38" s="313">
        <v>34.4</v>
      </c>
      <c r="G38" s="316" t="s">
        <v>967</v>
      </c>
    </row>
    <row r="39" spans="1:7" x14ac:dyDescent="0.3">
      <c r="A39" s="801" t="s">
        <v>879</v>
      </c>
      <c r="B39" s="802">
        <v>0</v>
      </c>
      <c r="C39" s="992">
        <v>0</v>
      </c>
      <c r="D39" s="806">
        <v>16.100000000000001</v>
      </c>
      <c r="E39" s="976">
        <f t="shared" si="0"/>
        <v>16.100000000000001</v>
      </c>
      <c r="F39" s="313">
        <v>34.4</v>
      </c>
      <c r="G39" s="316" t="s">
        <v>967</v>
      </c>
    </row>
    <row r="40" spans="1:7" x14ac:dyDescent="0.3">
      <c r="A40" s="804" t="s">
        <v>880</v>
      </c>
      <c r="B40" s="802">
        <v>0</v>
      </c>
      <c r="C40" s="992">
        <v>0</v>
      </c>
      <c r="D40" s="805">
        <v>47.7</v>
      </c>
      <c r="E40" s="976">
        <f t="shared" si="0"/>
        <v>47.7</v>
      </c>
      <c r="F40" s="313">
        <v>34.4</v>
      </c>
      <c r="G40" s="316" t="s">
        <v>967</v>
      </c>
    </row>
    <row r="41" spans="1:7" x14ac:dyDescent="0.3">
      <c r="A41" s="804" t="s">
        <v>881</v>
      </c>
      <c r="B41" s="802">
        <v>0</v>
      </c>
      <c r="C41" s="992">
        <v>0</v>
      </c>
      <c r="D41" s="806">
        <v>48.8</v>
      </c>
      <c r="E41" s="976">
        <f t="shared" si="0"/>
        <v>48.8</v>
      </c>
      <c r="F41" s="313">
        <v>32.799999999999997</v>
      </c>
      <c r="G41" s="316" t="s">
        <v>967</v>
      </c>
    </row>
    <row r="42" spans="1:7" x14ac:dyDescent="0.3">
      <c r="A42" s="801" t="s">
        <v>882</v>
      </c>
      <c r="B42" s="802">
        <v>0</v>
      </c>
      <c r="C42" s="992">
        <v>0</v>
      </c>
      <c r="D42" s="806">
        <v>55.9</v>
      </c>
      <c r="E42" s="976">
        <f t="shared" si="0"/>
        <v>55.9</v>
      </c>
      <c r="F42" s="313">
        <v>32.799999999999997</v>
      </c>
      <c r="G42" s="316" t="s">
        <v>967</v>
      </c>
    </row>
    <row r="43" spans="1:7" x14ac:dyDescent="0.3">
      <c r="A43" s="801" t="s">
        <v>883</v>
      </c>
      <c r="B43" s="802">
        <v>0</v>
      </c>
      <c r="C43" s="992">
        <v>0</v>
      </c>
      <c r="D43" s="802">
        <v>57.3</v>
      </c>
      <c r="E43" s="976">
        <f t="shared" si="0"/>
        <v>57.3</v>
      </c>
      <c r="F43" s="313">
        <v>21.3</v>
      </c>
      <c r="G43" s="316" t="s">
        <v>967</v>
      </c>
    </row>
    <row r="44" spans="1:7" x14ac:dyDescent="0.3">
      <c r="A44" s="801" t="s">
        <v>884</v>
      </c>
      <c r="B44" s="802">
        <v>0</v>
      </c>
      <c r="C44" s="992">
        <v>0</v>
      </c>
      <c r="D44" s="802">
        <v>55.3</v>
      </c>
      <c r="E44" s="976">
        <f t="shared" si="0"/>
        <v>55.3</v>
      </c>
      <c r="F44" s="313">
        <v>21.3</v>
      </c>
      <c r="G44" s="316" t="s">
        <v>967</v>
      </c>
    </row>
    <row r="45" spans="1:7" x14ac:dyDescent="0.3">
      <c r="A45" s="807" t="s">
        <v>885</v>
      </c>
      <c r="B45" s="761">
        <v>65.400000000000006</v>
      </c>
      <c r="C45" s="992">
        <v>0</v>
      </c>
      <c r="D45" s="761">
        <v>7.8</v>
      </c>
      <c r="E45" s="976">
        <f t="shared" si="0"/>
        <v>73.2</v>
      </c>
      <c r="F45" s="313">
        <v>35.799999999999997</v>
      </c>
      <c r="G45" s="316" t="s">
        <v>184</v>
      </c>
    </row>
    <row r="46" spans="1:7" x14ac:dyDescent="0.3">
      <c r="A46" s="807" t="s">
        <v>886</v>
      </c>
      <c r="B46" s="761">
        <v>56.4</v>
      </c>
      <c r="C46" s="992">
        <v>0</v>
      </c>
      <c r="D46" s="761">
        <v>16.100000000000001</v>
      </c>
      <c r="E46" s="976">
        <f t="shared" si="0"/>
        <v>72.5</v>
      </c>
      <c r="F46" s="313">
        <v>35.799999999999997</v>
      </c>
      <c r="G46" s="316" t="s">
        <v>184</v>
      </c>
    </row>
    <row r="47" spans="1:7" x14ac:dyDescent="0.3">
      <c r="A47" s="807" t="s">
        <v>887</v>
      </c>
      <c r="B47" s="761">
        <v>56.1</v>
      </c>
      <c r="C47" s="992">
        <v>0</v>
      </c>
      <c r="D47" s="761">
        <v>11.4</v>
      </c>
      <c r="E47" s="976">
        <f t="shared" si="0"/>
        <v>67.5</v>
      </c>
      <c r="F47" s="313">
        <v>35.799999999999997</v>
      </c>
      <c r="G47" s="316" t="s">
        <v>184</v>
      </c>
    </row>
    <row r="48" spans="1:7" x14ac:dyDescent="0.3">
      <c r="A48" s="801" t="s">
        <v>888</v>
      </c>
      <c r="B48" s="761">
        <v>0</v>
      </c>
      <c r="C48" s="992">
        <v>0</v>
      </c>
      <c r="D48" s="761">
        <v>22.4</v>
      </c>
      <c r="E48" s="976">
        <f t="shared" si="0"/>
        <v>22.4</v>
      </c>
      <c r="F48" s="313">
        <v>120</v>
      </c>
      <c r="G48" s="316" t="s">
        <v>187</v>
      </c>
    </row>
    <row r="49" spans="1:10" x14ac:dyDescent="0.3">
      <c r="A49" s="801" t="s">
        <v>889</v>
      </c>
      <c r="B49" s="761">
        <v>0</v>
      </c>
      <c r="C49" s="992">
        <v>0</v>
      </c>
      <c r="D49" s="761">
        <v>16.399999999999999</v>
      </c>
      <c r="E49" s="976">
        <f t="shared" si="0"/>
        <v>16.399999999999999</v>
      </c>
      <c r="F49" s="313">
        <v>120</v>
      </c>
      <c r="G49" s="316" t="s">
        <v>187</v>
      </c>
    </row>
    <row r="50" spans="1:10" x14ac:dyDescent="0.3">
      <c r="A50" s="808" t="s">
        <v>902</v>
      </c>
      <c r="B50" s="809"/>
      <c r="C50" s="994"/>
      <c r="D50" s="809"/>
      <c r="E50" s="976">
        <f>SUM(B50:D50)</f>
        <v>0</v>
      </c>
      <c r="F50" s="428"/>
      <c r="G50" s="316" t="s">
        <v>967</v>
      </c>
    </row>
    <row r="51" spans="1:10" x14ac:dyDescent="0.3">
      <c r="A51" s="808" t="s">
        <v>903</v>
      </c>
      <c r="B51" s="809"/>
      <c r="C51" s="994"/>
      <c r="D51" s="809"/>
      <c r="E51" s="976">
        <f>SUM(B51:D51)</f>
        <v>0</v>
      </c>
      <c r="F51" s="428"/>
      <c r="G51" s="316" t="s">
        <v>967</v>
      </c>
    </row>
    <row r="52" spans="1:10" ht="15" thickBot="1" x14ac:dyDescent="0.35">
      <c r="A52" s="810" t="s">
        <v>904</v>
      </c>
      <c r="B52" s="811"/>
      <c r="C52" s="996"/>
      <c r="D52" s="811"/>
      <c r="E52" s="977">
        <f>SUM(B52:D52)</f>
        <v>0</v>
      </c>
      <c r="F52" s="426"/>
      <c r="G52" s="320" t="s">
        <v>967</v>
      </c>
    </row>
    <row r="53" spans="1:10" ht="15" thickBot="1" x14ac:dyDescent="0.35"/>
    <row r="54" spans="1:10" x14ac:dyDescent="0.3">
      <c r="A54" s="370" t="s">
        <v>948</v>
      </c>
      <c r="B54" s="812" t="s">
        <v>980</v>
      </c>
      <c r="D54" s="813" t="s">
        <v>956</v>
      </c>
      <c r="E54" s="307"/>
      <c r="F54" s="307"/>
      <c r="G54" s="307"/>
      <c r="H54" s="307"/>
      <c r="I54" s="307"/>
      <c r="J54" s="419"/>
    </row>
    <row r="55" spans="1:10" ht="13.95" customHeight="1" x14ac:dyDescent="0.3">
      <c r="A55" s="373" t="s">
        <v>861</v>
      </c>
      <c r="B55" s="1171" t="s">
        <v>955</v>
      </c>
      <c r="D55" s="814" t="s">
        <v>952</v>
      </c>
      <c r="E55" s="815" t="s">
        <v>957</v>
      </c>
      <c r="F55" s="313"/>
      <c r="G55" s="313"/>
      <c r="H55" s="313"/>
      <c r="I55" s="313"/>
      <c r="J55" s="316"/>
    </row>
    <row r="56" spans="1:10" x14ac:dyDescent="0.3">
      <c r="A56" s="373" t="s">
        <v>862</v>
      </c>
      <c r="B56" s="1172"/>
      <c r="D56" s="814" t="s">
        <v>949</v>
      </c>
      <c r="E56" s="313" t="s">
        <v>962</v>
      </c>
      <c r="F56" s="815" t="s">
        <v>961</v>
      </c>
      <c r="G56" s="313"/>
      <c r="H56" s="313"/>
      <c r="I56" s="313"/>
      <c r="J56" s="316"/>
    </row>
    <row r="57" spans="1:10" x14ac:dyDescent="0.3">
      <c r="A57" s="373" t="s">
        <v>863</v>
      </c>
      <c r="B57" s="1172"/>
      <c r="D57" s="814" t="s">
        <v>950</v>
      </c>
      <c r="E57" s="313" t="s">
        <v>963</v>
      </c>
      <c r="F57" s="313"/>
      <c r="G57" s="313"/>
      <c r="H57" s="313"/>
      <c r="I57" s="313"/>
      <c r="J57" s="316"/>
    </row>
    <row r="58" spans="1:10" x14ac:dyDescent="0.3">
      <c r="A58" s="373" t="s">
        <v>864</v>
      </c>
      <c r="B58" s="1172"/>
      <c r="D58" s="814" t="s">
        <v>958</v>
      </c>
      <c r="E58" s="815" t="s">
        <v>964</v>
      </c>
      <c r="F58" s="313"/>
      <c r="G58" s="313"/>
      <c r="H58" s="313"/>
      <c r="I58" s="313"/>
      <c r="J58" s="316"/>
    </row>
    <row r="59" spans="1:10" x14ac:dyDescent="0.3">
      <c r="A59" s="373" t="s">
        <v>865</v>
      </c>
      <c r="B59" s="1172"/>
      <c r="D59" s="814" t="s">
        <v>954</v>
      </c>
      <c r="E59" s="815" t="s">
        <v>965</v>
      </c>
      <c r="F59" s="313"/>
      <c r="G59" s="313"/>
      <c r="H59" s="313"/>
      <c r="I59" s="313"/>
      <c r="J59" s="316"/>
    </row>
    <row r="60" spans="1:10" x14ac:dyDescent="0.3">
      <c r="A60" s="373" t="s">
        <v>866</v>
      </c>
      <c r="B60" s="1172"/>
      <c r="D60" s="814" t="s">
        <v>959</v>
      </c>
      <c r="E60" s="815" t="s">
        <v>966</v>
      </c>
      <c r="F60" s="313"/>
      <c r="G60" s="313"/>
      <c r="H60" s="313"/>
      <c r="I60" s="313"/>
      <c r="J60" s="316"/>
    </row>
    <row r="61" spans="1:10" ht="15" thickBot="1" x14ac:dyDescent="0.35">
      <c r="A61" s="373" t="s">
        <v>867</v>
      </c>
      <c r="B61" s="1172"/>
      <c r="D61" s="816" t="s">
        <v>992</v>
      </c>
      <c r="E61" s="318" t="s">
        <v>993</v>
      </c>
      <c r="F61" s="318"/>
      <c r="G61" s="318"/>
      <c r="H61" s="318"/>
      <c r="I61" s="318"/>
      <c r="J61" s="320"/>
    </row>
    <row r="62" spans="1:10" x14ac:dyDescent="0.3">
      <c r="A62" s="386"/>
      <c r="B62" s="817" t="s">
        <v>981</v>
      </c>
    </row>
    <row r="63" spans="1:10" x14ac:dyDescent="0.3">
      <c r="A63" s="759" t="s">
        <v>868</v>
      </c>
      <c r="B63" s="999" t="s">
        <v>949</v>
      </c>
    </row>
    <row r="64" spans="1:10" x14ac:dyDescent="0.3">
      <c r="A64" s="759" t="s">
        <v>869</v>
      </c>
      <c r="B64" s="999" t="s">
        <v>949</v>
      </c>
    </row>
    <row r="65" spans="1:2" x14ac:dyDescent="0.3">
      <c r="A65" s="759" t="s">
        <v>871</v>
      </c>
      <c r="B65" s="999" t="s">
        <v>950</v>
      </c>
    </row>
    <row r="66" spans="1:2" ht="15" thickBot="1" x14ac:dyDescent="0.35">
      <c r="A66" s="818" t="s">
        <v>872</v>
      </c>
      <c r="B66" s="1000" t="s">
        <v>950</v>
      </c>
    </row>
    <row r="67" spans="1:2" ht="15" thickBot="1" x14ac:dyDescent="0.35">
      <c r="A67" s="819"/>
      <c r="B67" s="820"/>
    </row>
    <row r="68" spans="1:2" x14ac:dyDescent="0.3">
      <c r="A68" s="821" t="s">
        <v>951</v>
      </c>
      <c r="B68" s="539" t="s">
        <v>982</v>
      </c>
    </row>
    <row r="69" spans="1:2" x14ac:dyDescent="0.3">
      <c r="A69" s="373" t="s">
        <v>876</v>
      </c>
      <c r="B69" s="999" t="s">
        <v>952</v>
      </c>
    </row>
    <row r="70" spans="1:2" x14ac:dyDescent="0.3">
      <c r="A70" s="373" t="s">
        <v>877</v>
      </c>
      <c r="B70" s="999" t="s">
        <v>953</v>
      </c>
    </row>
    <row r="71" spans="1:2" x14ac:dyDescent="0.3">
      <c r="A71" s="373" t="s">
        <v>648</v>
      </c>
      <c r="B71" s="1173" t="s">
        <v>952</v>
      </c>
    </row>
    <row r="72" spans="1:2" x14ac:dyDescent="0.3">
      <c r="A72" s="373" t="s">
        <v>878</v>
      </c>
      <c r="B72" s="1174"/>
    </row>
    <row r="73" spans="1:2" x14ac:dyDescent="0.3">
      <c r="A73" s="373" t="s">
        <v>879</v>
      </c>
      <c r="B73" s="1174"/>
    </row>
    <row r="74" spans="1:2" x14ac:dyDescent="0.3">
      <c r="A74" s="373" t="s">
        <v>880</v>
      </c>
      <c r="B74" s="1174"/>
    </row>
    <row r="75" spans="1:2" x14ac:dyDescent="0.3">
      <c r="A75" s="373" t="s">
        <v>881</v>
      </c>
      <c r="B75" s="1174"/>
    </row>
    <row r="76" spans="1:2" x14ac:dyDescent="0.3">
      <c r="A76" s="373" t="s">
        <v>882</v>
      </c>
      <c r="B76" s="1174"/>
    </row>
    <row r="77" spans="1:2" x14ac:dyDescent="0.3">
      <c r="A77" s="373" t="s">
        <v>883</v>
      </c>
      <c r="B77" s="1174"/>
    </row>
    <row r="78" spans="1:2" x14ac:dyDescent="0.3">
      <c r="A78" s="373" t="s">
        <v>884</v>
      </c>
      <c r="B78" s="1174"/>
    </row>
    <row r="79" spans="1:2" x14ac:dyDescent="0.3">
      <c r="A79" s="373" t="s">
        <v>885</v>
      </c>
      <c r="B79" s="1174"/>
    </row>
    <row r="80" spans="1:2" x14ac:dyDescent="0.3">
      <c r="A80" s="373" t="s">
        <v>886</v>
      </c>
      <c r="B80" s="1174"/>
    </row>
    <row r="81" spans="1:7" x14ac:dyDescent="0.3">
      <c r="A81" s="373" t="s">
        <v>887</v>
      </c>
      <c r="B81" s="1175"/>
    </row>
    <row r="82" spans="1:7" x14ac:dyDescent="0.3">
      <c r="A82" s="373" t="s">
        <v>888</v>
      </c>
      <c r="B82" s="1173" t="s">
        <v>954</v>
      </c>
    </row>
    <row r="83" spans="1:7" ht="15" thickBot="1" x14ac:dyDescent="0.35">
      <c r="A83" s="376" t="s">
        <v>889</v>
      </c>
      <c r="B83" s="1176"/>
    </row>
    <row r="85" spans="1:7" x14ac:dyDescent="0.3">
      <c r="A85" s="822"/>
      <c r="B85" s="313"/>
      <c r="C85" s="313"/>
      <c r="D85" s="313"/>
      <c r="E85" s="313"/>
      <c r="F85" s="313"/>
      <c r="G85" s="313"/>
    </row>
    <row r="86" spans="1:7" x14ac:dyDescent="0.3">
      <c r="A86" s="823"/>
      <c r="B86" s="815"/>
      <c r="C86" s="313"/>
      <c r="D86" s="313"/>
      <c r="E86" s="313"/>
      <c r="F86" s="313"/>
      <c r="G86" s="313"/>
    </row>
    <row r="87" spans="1:7" x14ac:dyDescent="0.3">
      <c r="A87" s="823"/>
      <c r="B87" s="313"/>
      <c r="C87" s="815"/>
      <c r="D87" s="313"/>
      <c r="E87" s="313"/>
      <c r="F87" s="313"/>
      <c r="G87" s="313"/>
    </row>
    <row r="88" spans="1:7" x14ac:dyDescent="0.3">
      <c r="A88" s="823"/>
      <c r="B88" s="313"/>
      <c r="C88" s="313"/>
      <c r="D88" s="313"/>
      <c r="E88" s="313"/>
      <c r="F88" s="313"/>
      <c r="G88" s="313"/>
    </row>
    <row r="89" spans="1:7" x14ac:dyDescent="0.3">
      <c r="A89" s="823"/>
      <c r="B89" s="815"/>
      <c r="C89" s="313"/>
      <c r="D89" s="313"/>
      <c r="E89" s="313"/>
      <c r="F89" s="313"/>
      <c r="G89" s="313"/>
    </row>
    <row r="90" spans="1:7" x14ac:dyDescent="0.3">
      <c r="A90" s="823"/>
      <c r="B90" s="815"/>
      <c r="C90" s="313"/>
      <c r="D90" s="313"/>
      <c r="E90" s="313"/>
      <c r="F90" s="313"/>
      <c r="G90" s="313"/>
    </row>
    <row r="91" spans="1:7" x14ac:dyDescent="0.3">
      <c r="A91" s="823"/>
      <c r="B91" s="815"/>
      <c r="C91" s="313"/>
      <c r="D91" s="313"/>
      <c r="E91" s="313"/>
      <c r="F91" s="313"/>
      <c r="G91" s="313"/>
    </row>
  </sheetData>
  <sheetProtection algorithmName="SHA-512" hashValue="HrNTcVnCkSXykzdnfXfIU3Uh6LeCwkzz1YsyuHfz95nRzlmYnjingPM3E/BdOHrTatRtk9TVIbBU7UQbN39T4w==" saltValue="Schuo0ZPHZPMCsF1lzS6AQ==" spinCount="100000" sheet="1" objects="1" scenarios="1" formatColumns="0" formatRows="0"/>
  <mergeCells count="5">
    <mergeCell ref="C31:D31"/>
    <mergeCell ref="B55:B61"/>
    <mergeCell ref="B71:B81"/>
    <mergeCell ref="B82:B83"/>
    <mergeCell ref="A2:H5"/>
  </mergeCells>
  <hyperlinks>
    <hyperlink ref="E55" r:id="rId1" xr:uid="{0D252B11-1DC1-4D8D-9C71-4A8EBB41DB01}"/>
    <hyperlink ref="F56" r:id="rId2" xr:uid="{462C5BEC-428C-404E-B744-79F41952A80F}"/>
    <hyperlink ref="E58" r:id="rId3" xr:uid="{EB90DE40-A3E2-4FDF-8AA8-D19E60F4B0F1}"/>
    <hyperlink ref="E59" r:id="rId4" xr:uid="{E7A2CE49-D3F7-40E3-B650-1701F0A6D4B4}"/>
    <hyperlink ref="E60" r:id="rId5" xr:uid="{D966851E-E9D7-433B-B598-BD22378EC5F4}"/>
  </hyperlinks>
  <pageMargins left="0.7" right="0.7" top="0.75" bottom="0.75" header="0.3" footer="0.3"/>
  <pageSetup paperSize="9" orientation="portrait" verticalDpi="0" r:id="rId6"/>
  <legacyDrawing r:id="rId7"/>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FE33B-7FC4-400A-B3EB-2E109099D2DA}">
  <sheetPr>
    <tabColor theme="2" tint="-9.9978637043366805E-2"/>
  </sheetPr>
  <dimension ref="A1:AW85"/>
  <sheetViews>
    <sheetView topLeftCell="A6" zoomScale="70" zoomScaleNormal="70" workbookViewId="0"/>
  </sheetViews>
  <sheetFormatPr baseColWidth="10" defaultColWidth="11.5546875" defaultRowHeight="14.4" x14ac:dyDescent="0.3"/>
  <cols>
    <col min="1" max="1" width="13.44140625" style="301" bestFit="1" customWidth="1"/>
    <col min="2" max="3" width="20.109375" style="301" customWidth="1"/>
    <col min="4" max="4" width="10.6640625" style="301" customWidth="1"/>
    <col min="5" max="5" width="12.33203125" style="301" bestFit="1" customWidth="1"/>
    <col min="6" max="6" width="22" style="301" customWidth="1"/>
    <col min="7" max="7" width="21.5546875" style="301" customWidth="1"/>
    <col min="8" max="8" width="17.6640625" style="301" bestFit="1" customWidth="1"/>
    <col min="9" max="9" width="17.88671875" style="301" bestFit="1" customWidth="1"/>
    <col min="10" max="10" width="14.44140625" style="301" bestFit="1" customWidth="1"/>
    <col min="11" max="11" width="12.5546875" style="301" customWidth="1"/>
    <col min="12" max="12" width="12.88671875" style="301" customWidth="1"/>
    <col min="13" max="13" width="12.6640625" style="301" customWidth="1"/>
    <col min="14" max="14" width="18.109375" style="301" customWidth="1"/>
    <col min="15" max="15" width="11.5546875" style="301"/>
    <col min="16" max="16" width="36" style="301" customWidth="1"/>
    <col min="17" max="17" width="19.109375" style="301" customWidth="1"/>
    <col min="18" max="18" width="14.44140625" style="301" customWidth="1"/>
    <col min="19" max="19" width="11.5546875" style="115"/>
    <col min="20" max="20" width="11.5546875" style="16"/>
    <col min="21" max="21" width="19.33203125" style="16" customWidth="1"/>
    <col min="22" max="22" width="6.44140625" style="16" customWidth="1"/>
    <col min="23" max="27" width="20.109375" style="16" customWidth="1"/>
    <col min="28" max="28" width="17.33203125" style="115" customWidth="1"/>
    <col min="29" max="29" width="22.88671875" style="16" customWidth="1"/>
    <col min="30" max="30" width="19.109375" style="16" customWidth="1"/>
    <col min="31" max="31" width="18.5546875" style="16" customWidth="1"/>
    <col min="32" max="32" width="16.109375" style="16" customWidth="1"/>
    <col min="33" max="33" width="20.88671875" style="16" customWidth="1"/>
    <col min="34" max="35" width="11.5546875" style="16" customWidth="1"/>
    <col min="36" max="36" width="18" style="16" bestFit="1" customWidth="1"/>
    <col min="37" max="37" width="20.44140625" style="16" customWidth="1"/>
    <col min="38" max="38" width="18.5546875" style="16" customWidth="1"/>
    <col min="39" max="40" width="11.5546875" style="16"/>
    <col min="41" max="41" width="15.33203125" style="16" bestFit="1" customWidth="1"/>
    <col min="42" max="42" width="11.5546875" style="16"/>
    <col min="43" max="43" width="29.109375" style="16" customWidth="1"/>
    <col min="44" max="44" width="16.6640625" style="16" customWidth="1"/>
    <col min="45" max="16384" width="11.5546875" style="16"/>
  </cols>
  <sheetData>
    <row r="1" spans="1:48" ht="24" thickBot="1" x14ac:dyDescent="0.5">
      <c r="B1" s="302" t="s">
        <v>779</v>
      </c>
      <c r="S1" s="1196" t="s">
        <v>370</v>
      </c>
      <c r="T1" s="1186"/>
      <c r="U1" s="1186"/>
      <c r="V1" s="1186"/>
      <c r="W1" s="1186"/>
      <c r="X1" s="1186"/>
      <c r="Y1" s="1186"/>
      <c r="Z1" s="1186"/>
      <c r="AA1" s="1197"/>
    </row>
    <row r="2" spans="1:48" ht="14.4" customHeight="1" x14ac:dyDescent="0.3">
      <c r="B2" s="1187" t="s">
        <v>758</v>
      </c>
      <c r="C2" s="1188"/>
      <c r="D2" s="1188"/>
      <c r="E2" s="1188"/>
      <c r="F2" s="1188"/>
      <c r="G2" s="1188"/>
      <c r="H2" s="1188"/>
      <c r="I2" s="1188"/>
      <c r="J2" s="1188"/>
      <c r="K2" s="1189"/>
      <c r="L2" s="303"/>
    </row>
    <row r="3" spans="1:48" x14ac:dyDescent="0.3">
      <c r="B3" s="1190"/>
      <c r="C3" s="1191"/>
      <c r="D3" s="1191"/>
      <c r="E3" s="1191"/>
      <c r="F3" s="1191"/>
      <c r="G3" s="1191"/>
      <c r="H3" s="1191"/>
      <c r="I3" s="1191"/>
      <c r="J3" s="1191"/>
      <c r="K3" s="1192"/>
      <c r="L3" s="303"/>
    </row>
    <row r="4" spans="1:48" x14ac:dyDescent="0.3">
      <c r="B4" s="1190"/>
      <c r="C4" s="1191"/>
      <c r="D4" s="1191"/>
      <c r="E4" s="1191"/>
      <c r="F4" s="1191"/>
      <c r="G4" s="1191"/>
      <c r="H4" s="1191"/>
      <c r="I4" s="1191"/>
      <c r="J4" s="1191"/>
      <c r="K4" s="1192"/>
      <c r="L4" s="303"/>
    </row>
    <row r="5" spans="1:48" x14ac:dyDescent="0.3">
      <c r="B5" s="1190"/>
      <c r="C5" s="1191"/>
      <c r="D5" s="1191"/>
      <c r="E5" s="1191"/>
      <c r="F5" s="1191"/>
      <c r="G5" s="1191"/>
      <c r="H5" s="1191"/>
      <c r="I5" s="1191"/>
      <c r="J5" s="1191"/>
      <c r="K5" s="1192"/>
    </row>
    <row r="6" spans="1:48" ht="15" thickBot="1" x14ac:dyDescent="0.35">
      <c r="B6" s="1193"/>
      <c r="C6" s="1194"/>
      <c r="D6" s="1194"/>
      <c r="E6" s="1194"/>
      <c r="F6" s="1194"/>
      <c r="G6" s="1194"/>
      <c r="H6" s="1194"/>
      <c r="I6" s="1194"/>
      <c r="J6" s="1194"/>
      <c r="K6" s="1195"/>
    </row>
    <row r="7" spans="1:48" ht="29.4" customHeight="1" x14ac:dyDescent="0.3">
      <c r="B7" s="1225"/>
      <c r="C7" s="1225"/>
      <c r="D7" s="1225"/>
      <c r="E7" s="1225"/>
      <c r="F7" s="1225"/>
      <c r="G7" s="1225"/>
      <c r="H7" s="1225"/>
      <c r="I7" s="1225"/>
      <c r="J7" s="304"/>
      <c r="K7" s="304"/>
    </row>
    <row r="8" spans="1:48" ht="15" thickBot="1" x14ac:dyDescent="0.35">
      <c r="B8" s="313"/>
      <c r="F8" s="313"/>
      <c r="G8" s="313"/>
      <c r="H8" s="313"/>
      <c r="I8" s="313"/>
    </row>
    <row r="9" spans="1:48" s="288" customFormat="1" x14ac:dyDescent="0.3">
      <c r="A9" s="301"/>
      <c r="B9" s="306" t="s">
        <v>830</v>
      </c>
      <c r="C9" s="307"/>
      <c r="D9" s="307"/>
      <c r="E9" s="307"/>
      <c r="F9" s="308" t="s">
        <v>615</v>
      </c>
      <c r="G9" s="309"/>
      <c r="H9" s="310" t="s">
        <v>614</v>
      </c>
      <c r="I9" s="311" t="s">
        <v>616</v>
      </c>
      <c r="J9" s="301"/>
      <c r="K9" s="301"/>
      <c r="L9" s="301"/>
      <c r="M9" s="301"/>
      <c r="N9" s="301"/>
      <c r="O9" s="301"/>
      <c r="P9" s="301"/>
      <c r="Q9" s="301"/>
      <c r="R9" s="301"/>
      <c r="S9" s="115"/>
      <c r="T9" s="16"/>
      <c r="U9" s="16"/>
      <c r="V9" s="16"/>
      <c r="W9" s="16"/>
      <c r="X9" s="16"/>
      <c r="Y9" s="16"/>
      <c r="Z9" s="16"/>
      <c r="AA9" s="16"/>
      <c r="AB9" s="115"/>
      <c r="AC9" s="16"/>
      <c r="AD9" s="16"/>
      <c r="AE9" s="16"/>
      <c r="AF9" s="16"/>
      <c r="AG9" s="16"/>
      <c r="AH9" s="16"/>
      <c r="AI9" s="16"/>
      <c r="AJ9" s="16"/>
      <c r="AK9" s="16"/>
      <c r="AL9" s="16"/>
      <c r="AM9" s="16"/>
      <c r="AN9" s="16"/>
      <c r="AO9" s="16"/>
      <c r="AP9" s="16"/>
      <c r="AQ9" s="16"/>
      <c r="AR9" s="16"/>
      <c r="AS9" s="16"/>
      <c r="AT9" s="16"/>
      <c r="AU9" s="16"/>
      <c r="AV9" s="16"/>
    </row>
    <row r="10" spans="1:48" s="288" customFormat="1" x14ac:dyDescent="0.3">
      <c r="A10" s="301"/>
      <c r="B10" s="312" t="s">
        <v>278</v>
      </c>
      <c r="C10" s="313"/>
      <c r="D10" s="313"/>
      <c r="E10" s="313"/>
      <c r="F10" s="314"/>
      <c r="G10" s="313">
        <f>A15</f>
        <v>0</v>
      </c>
      <c r="H10" s="315">
        <v>0</v>
      </c>
      <c r="I10" s="316">
        <f>IF(H10=0,G10,H10)</f>
        <v>0</v>
      </c>
      <c r="J10" s="301"/>
      <c r="K10" s="301"/>
      <c r="L10" s="301"/>
      <c r="M10" s="301"/>
      <c r="N10" s="301"/>
      <c r="O10" s="301"/>
      <c r="P10" s="301"/>
      <c r="Q10" s="301"/>
      <c r="R10" s="301"/>
      <c r="S10" s="115"/>
      <c r="T10" s="16"/>
      <c r="U10" s="16"/>
      <c r="V10" s="16"/>
      <c r="W10" s="16"/>
      <c r="X10" s="16"/>
      <c r="Y10" s="16"/>
      <c r="Z10" s="16"/>
      <c r="AA10" s="16"/>
      <c r="AB10" s="115"/>
      <c r="AC10" s="16"/>
      <c r="AD10" s="16"/>
      <c r="AE10" s="16"/>
      <c r="AF10" s="16"/>
      <c r="AG10" s="16"/>
      <c r="AH10" s="16"/>
      <c r="AI10" s="16"/>
      <c r="AJ10" s="16"/>
      <c r="AK10" s="16"/>
      <c r="AL10" s="16"/>
      <c r="AM10" s="16"/>
      <c r="AN10" s="16"/>
      <c r="AO10" s="16"/>
      <c r="AP10" s="16"/>
      <c r="AQ10" s="16"/>
      <c r="AR10" s="16"/>
      <c r="AS10" s="16"/>
      <c r="AT10" s="16"/>
      <c r="AU10" s="16"/>
      <c r="AV10" s="16"/>
    </row>
    <row r="11" spans="1:48" s="288" customFormat="1" x14ac:dyDescent="0.3">
      <c r="A11" s="301"/>
      <c r="B11" s="312" t="s">
        <v>472</v>
      </c>
      <c r="C11" s="313"/>
      <c r="D11" s="313"/>
      <c r="E11" s="313"/>
      <c r="F11" s="313"/>
      <c r="G11" s="313">
        <f>SUM(A20:A27,,A31:A38,A40,A45:A61,A64)</f>
        <v>0</v>
      </c>
      <c r="H11" s="315">
        <v>0</v>
      </c>
      <c r="I11" s="316">
        <f>IF(H11=0,G11,H11)</f>
        <v>0</v>
      </c>
      <c r="J11" s="301"/>
      <c r="K11" s="301"/>
      <c r="L11" s="301"/>
      <c r="M11" s="301"/>
      <c r="N11" s="301"/>
      <c r="O11" s="301"/>
      <c r="P11" s="301"/>
      <c r="Q11" s="301"/>
      <c r="R11" s="301"/>
      <c r="S11" s="115"/>
      <c r="T11" s="16"/>
      <c r="U11" s="16"/>
      <c r="V11" s="16"/>
      <c r="W11" s="16"/>
      <c r="X11" s="16"/>
      <c r="Y11" s="16"/>
      <c r="Z11" s="16"/>
      <c r="AA11" s="16"/>
      <c r="AB11" s="115"/>
      <c r="AC11" s="16"/>
      <c r="AD11" s="16"/>
      <c r="AE11" s="16"/>
      <c r="AF11" s="16"/>
      <c r="AG11" s="16"/>
      <c r="AH11" s="16"/>
      <c r="AI11" s="16"/>
      <c r="AJ11" s="16"/>
      <c r="AK11" s="16"/>
      <c r="AL11" s="16"/>
      <c r="AM11" s="16"/>
      <c r="AN11" s="16"/>
      <c r="AO11" s="16"/>
      <c r="AP11" s="16"/>
      <c r="AQ11" s="16"/>
      <c r="AR11" s="16"/>
      <c r="AS11" s="16"/>
      <c r="AT11" s="16"/>
      <c r="AU11" s="16"/>
      <c r="AV11" s="16"/>
    </row>
    <row r="12" spans="1:48" s="288" customFormat="1" ht="15" thickBot="1" x14ac:dyDescent="0.35">
      <c r="A12" s="301"/>
      <c r="B12" s="317" t="s">
        <v>768</v>
      </c>
      <c r="C12" s="318"/>
      <c r="D12" s="318"/>
      <c r="E12" s="318"/>
      <c r="F12" s="318"/>
      <c r="G12" s="318">
        <v>0</v>
      </c>
      <c r="H12" s="319">
        <v>0</v>
      </c>
      <c r="I12" s="320">
        <f>IF(H12=0,G12,H12)</f>
        <v>0</v>
      </c>
      <c r="J12" s="301"/>
      <c r="K12" s="301"/>
      <c r="L12" s="301"/>
      <c r="M12" s="301"/>
      <c r="N12" s="301"/>
      <c r="O12" s="301"/>
      <c r="P12" s="301"/>
      <c r="Q12" s="301"/>
      <c r="R12" s="301"/>
      <c r="S12" s="115"/>
      <c r="T12" s="16"/>
      <c r="U12" s="16"/>
      <c r="V12" s="16"/>
      <c r="W12" s="16"/>
      <c r="X12" s="16"/>
      <c r="Y12" s="16"/>
      <c r="Z12" s="16"/>
      <c r="AA12" s="16"/>
      <c r="AB12" s="115"/>
      <c r="AC12" s="16"/>
      <c r="AD12" s="16"/>
      <c r="AE12" s="16"/>
      <c r="AF12" s="16"/>
      <c r="AG12" s="16"/>
      <c r="AH12" s="16"/>
      <c r="AI12" s="16"/>
      <c r="AJ12" s="16"/>
      <c r="AK12" s="16"/>
      <c r="AL12" s="16"/>
      <c r="AM12" s="16"/>
      <c r="AN12" s="16"/>
      <c r="AO12" s="16"/>
      <c r="AP12" s="16"/>
      <c r="AQ12" s="16"/>
      <c r="AR12" s="16"/>
      <c r="AS12" s="16"/>
      <c r="AT12" s="16"/>
      <c r="AU12" s="16"/>
      <c r="AV12" s="16"/>
    </row>
    <row r="13" spans="1:48" s="288" customFormat="1" ht="15" thickBot="1" x14ac:dyDescent="0.35">
      <c r="A13" s="301"/>
      <c r="B13" s="301"/>
      <c r="C13" s="301"/>
      <c r="D13" s="301"/>
      <c r="E13" s="301"/>
      <c r="F13" s="301"/>
      <c r="G13" s="301"/>
      <c r="H13" s="301"/>
      <c r="I13" s="301"/>
      <c r="J13" s="301"/>
      <c r="K13" s="301"/>
      <c r="L13" s="301"/>
      <c r="M13" s="301"/>
      <c r="N13" s="301"/>
      <c r="O13" s="301"/>
      <c r="P13" s="301"/>
      <c r="Q13" s="301"/>
      <c r="R13" s="301"/>
      <c r="S13" s="115"/>
      <c r="T13" s="16"/>
      <c r="U13" s="16"/>
      <c r="V13" s="16"/>
      <c r="W13" s="16"/>
      <c r="X13" s="16"/>
      <c r="Y13" s="16"/>
      <c r="Z13" s="16"/>
      <c r="AA13" s="16"/>
      <c r="AB13" s="115"/>
      <c r="AC13" s="16"/>
      <c r="AD13" s="16"/>
      <c r="AE13" s="16"/>
      <c r="AF13" s="16"/>
      <c r="AG13" s="16"/>
      <c r="AH13" s="16"/>
      <c r="AI13" s="16"/>
      <c r="AJ13" s="16"/>
      <c r="AK13" s="16"/>
      <c r="AL13" s="16"/>
      <c r="AM13" s="16"/>
      <c r="AN13" s="16"/>
      <c r="AO13" s="16"/>
      <c r="AP13" s="16"/>
      <c r="AQ13" s="16"/>
      <c r="AR13" s="16"/>
      <c r="AS13" s="16"/>
      <c r="AT13" s="16"/>
      <c r="AU13" s="16"/>
      <c r="AV13" s="16"/>
    </row>
    <row r="14" spans="1:48" s="288" customFormat="1" ht="18" x14ac:dyDescent="0.35">
      <c r="A14" s="321" t="s">
        <v>777</v>
      </c>
      <c r="B14" s="390" t="s">
        <v>829</v>
      </c>
      <c r="C14" s="322"/>
      <c r="D14" s="322"/>
      <c r="E14" s="323"/>
      <c r="F14" s="324"/>
      <c r="G14" s="325"/>
      <c r="H14" s="301"/>
      <c r="I14" s="301"/>
      <c r="J14" s="301"/>
      <c r="K14" s="301"/>
      <c r="L14" s="301"/>
      <c r="M14" s="301"/>
      <c r="N14" s="301"/>
      <c r="O14" s="301"/>
      <c r="P14" s="301"/>
      <c r="Q14" s="301"/>
      <c r="R14" s="301"/>
      <c r="S14" s="1198" t="s">
        <v>278</v>
      </c>
      <c r="T14" s="1199"/>
      <c r="U14" s="1199"/>
      <c r="V14" s="1200"/>
      <c r="W14" s="75"/>
      <c r="X14" s="229"/>
      <c r="Y14" s="229"/>
      <c r="Z14" s="229"/>
      <c r="AA14" s="16"/>
      <c r="AB14" s="115"/>
      <c r="AC14" s="16"/>
      <c r="AD14" s="16"/>
      <c r="AE14" s="16"/>
      <c r="AF14" s="16"/>
      <c r="AG14" s="16"/>
      <c r="AH14" s="16"/>
      <c r="AI14" s="16"/>
      <c r="AJ14" s="16"/>
      <c r="AK14" s="16"/>
      <c r="AL14" s="16"/>
      <c r="AM14" s="16"/>
      <c r="AN14" s="16"/>
      <c r="AO14" s="16"/>
      <c r="AP14" s="16"/>
      <c r="AQ14" s="16"/>
      <c r="AR14" s="16"/>
      <c r="AS14" s="16"/>
      <c r="AT14" s="16"/>
      <c r="AU14" s="16"/>
      <c r="AV14" s="16"/>
    </row>
    <row r="15" spans="1:48" s="288" customFormat="1" ht="15" thickBot="1" x14ac:dyDescent="0.35">
      <c r="A15" s="326">
        <v>0</v>
      </c>
      <c r="B15" s="327" t="s">
        <v>610</v>
      </c>
      <c r="C15" s="328"/>
      <c r="D15" s="328"/>
      <c r="E15" s="328"/>
      <c r="F15" s="329">
        <v>0</v>
      </c>
      <c r="G15" s="330" t="s">
        <v>279</v>
      </c>
      <c r="H15" s="301"/>
      <c r="I15" s="301"/>
      <c r="J15" s="301"/>
      <c r="K15" s="301"/>
      <c r="L15" s="301"/>
      <c r="M15" s="301"/>
      <c r="N15" s="301"/>
      <c r="O15" s="301"/>
      <c r="P15" s="301"/>
      <c r="Q15" s="301"/>
      <c r="R15" s="301"/>
      <c r="S15" s="1201" t="s">
        <v>610</v>
      </c>
      <c r="T15" s="1202"/>
      <c r="U15" s="1202"/>
      <c r="V15" s="1203"/>
      <c r="W15" s="271">
        <f>F15*'Transportsystemer, faktorer'!D11</f>
        <v>0</v>
      </c>
      <c r="X15" s="253"/>
      <c r="Y15" s="253"/>
      <c r="Z15" s="253"/>
      <c r="AA15" s="16"/>
      <c r="AB15" s="115"/>
      <c r="AC15" s="16"/>
      <c r="AD15" s="16"/>
      <c r="AE15" s="16"/>
      <c r="AF15" s="16"/>
      <c r="AG15" s="16"/>
      <c r="AH15" s="16"/>
      <c r="AI15" s="16"/>
      <c r="AJ15" s="16"/>
      <c r="AK15" s="16"/>
      <c r="AL15" s="16"/>
      <c r="AM15" s="16"/>
      <c r="AN15" s="16"/>
      <c r="AO15" s="16"/>
      <c r="AP15" s="16"/>
      <c r="AQ15" s="16"/>
      <c r="AR15" s="16"/>
      <c r="AS15" s="16"/>
      <c r="AT15" s="16"/>
      <c r="AU15" s="16"/>
      <c r="AV15" s="16"/>
    </row>
    <row r="16" spans="1:48" s="288" customFormat="1" x14ac:dyDescent="0.3">
      <c r="A16" s="301"/>
      <c r="B16" s="301"/>
      <c r="C16" s="301"/>
      <c r="D16" s="301"/>
      <c r="E16" s="301"/>
      <c r="F16" s="301"/>
      <c r="G16" s="301"/>
      <c r="H16" s="301"/>
      <c r="I16" s="301"/>
      <c r="J16" s="301"/>
      <c r="K16" s="301"/>
      <c r="L16" s="301"/>
      <c r="M16" s="301"/>
      <c r="N16" s="301"/>
      <c r="O16" s="301"/>
      <c r="P16" s="301"/>
      <c r="Q16" s="301"/>
      <c r="R16" s="301"/>
      <c r="S16" s="76"/>
      <c r="T16" s="16"/>
      <c r="U16" s="16"/>
      <c r="V16" s="16"/>
      <c r="W16" s="16"/>
      <c r="X16" s="16"/>
      <c r="Y16" s="16"/>
      <c r="Z16" s="16"/>
      <c r="AA16" s="16"/>
      <c r="AB16" s="115"/>
      <c r="AC16" s="16"/>
      <c r="AD16" s="16"/>
      <c r="AE16" s="16"/>
      <c r="AF16" s="16"/>
      <c r="AG16" s="16"/>
      <c r="AH16" s="16"/>
      <c r="AI16" s="16"/>
      <c r="AJ16" s="16"/>
      <c r="AK16" s="16"/>
      <c r="AL16" s="16"/>
      <c r="AM16" s="16"/>
      <c r="AN16" s="16"/>
      <c r="AO16" s="16"/>
      <c r="AP16" s="16"/>
      <c r="AQ16" s="16"/>
      <c r="AR16" s="16"/>
      <c r="AS16" s="16"/>
      <c r="AT16" s="16"/>
      <c r="AU16" s="16"/>
      <c r="AV16" s="16"/>
    </row>
    <row r="17" spans="1:48" s="288" customFormat="1" ht="21" x14ac:dyDescent="0.4">
      <c r="A17" s="301"/>
      <c r="B17" s="332" t="s">
        <v>780</v>
      </c>
      <c r="C17" s="301"/>
      <c r="D17" s="301"/>
      <c r="E17" s="301"/>
      <c r="F17" s="301"/>
      <c r="G17" s="301"/>
      <c r="H17" s="301"/>
      <c r="I17" s="301"/>
      <c r="J17" s="301"/>
      <c r="K17" s="301"/>
      <c r="L17" s="301"/>
      <c r="M17" s="301"/>
      <c r="N17" s="301"/>
      <c r="O17" s="301"/>
      <c r="P17" s="301"/>
      <c r="Q17" s="301"/>
      <c r="R17" s="301"/>
      <c r="S17" s="115"/>
      <c r="T17" s="16"/>
      <c r="U17" s="16"/>
      <c r="V17" s="16"/>
      <c r="W17" s="16"/>
      <c r="X17" s="16"/>
      <c r="Y17" s="16"/>
      <c r="Z17" s="16"/>
      <c r="AA17" s="16"/>
      <c r="AB17" s="115"/>
      <c r="AC17" s="16"/>
      <c r="AD17" s="16"/>
      <c r="AE17" s="16"/>
      <c r="AF17" s="16"/>
      <c r="AG17" s="16"/>
      <c r="AH17" s="16"/>
      <c r="AI17" s="16"/>
      <c r="AJ17" s="16"/>
      <c r="AK17" s="16"/>
      <c r="AL17" s="16"/>
      <c r="AM17" s="16"/>
      <c r="AN17" s="16"/>
      <c r="AO17" s="16"/>
      <c r="AP17" s="16"/>
      <c r="AQ17" s="16"/>
      <c r="AR17" s="16"/>
      <c r="AS17" s="16"/>
      <c r="AT17" s="16"/>
      <c r="AU17" s="16"/>
      <c r="AV17" s="16"/>
    </row>
    <row r="18" spans="1:48" s="288" customFormat="1" ht="15" thickBot="1" x14ac:dyDescent="0.35">
      <c r="A18" s="334"/>
      <c r="B18" s="334" t="s">
        <v>742</v>
      </c>
      <c r="C18" s="301"/>
      <c r="D18" s="301"/>
      <c r="E18" s="301"/>
      <c r="F18" s="301"/>
      <c r="G18" s="301"/>
      <c r="H18" s="301"/>
      <c r="I18" s="301"/>
      <c r="J18" s="301"/>
      <c r="K18" s="301"/>
      <c r="L18" s="301"/>
      <c r="M18" s="301"/>
      <c r="N18" s="301"/>
      <c r="O18" s="301"/>
      <c r="P18" s="301"/>
      <c r="Q18" s="301"/>
      <c r="R18" s="301"/>
      <c r="S18" s="72"/>
      <c r="T18" s="16"/>
      <c r="U18" s="16"/>
      <c r="V18" s="16"/>
      <c r="W18" s="16"/>
      <c r="X18" s="16"/>
      <c r="Y18" s="16"/>
      <c r="Z18" s="16"/>
      <c r="AA18" s="16"/>
      <c r="AB18" s="115"/>
      <c r="AC18" s="16"/>
      <c r="AD18" s="16"/>
      <c r="AE18" s="16"/>
      <c r="AF18" s="16"/>
      <c r="AG18" s="16"/>
      <c r="AH18" s="16"/>
      <c r="AI18" s="16"/>
      <c r="AJ18" s="16"/>
      <c r="AK18" s="16"/>
      <c r="AL18" s="16"/>
      <c r="AM18" s="16"/>
      <c r="AN18" s="16"/>
      <c r="AO18" s="16"/>
      <c r="AP18" s="16"/>
      <c r="AQ18" s="16"/>
      <c r="AR18" s="16"/>
      <c r="AS18" s="16"/>
      <c r="AT18" s="16"/>
      <c r="AU18" s="16"/>
      <c r="AV18" s="16"/>
    </row>
    <row r="19" spans="1:48" ht="15" customHeight="1" x14ac:dyDescent="0.3">
      <c r="A19" s="335" t="s">
        <v>777</v>
      </c>
      <c r="B19" s="1204" t="s">
        <v>747</v>
      </c>
      <c r="C19" s="1205"/>
      <c r="D19" s="1205"/>
      <c r="E19" s="1206"/>
      <c r="F19" s="336" t="s">
        <v>702</v>
      </c>
      <c r="G19" s="337" t="s">
        <v>653</v>
      </c>
      <c r="H19" s="334" t="s">
        <v>437</v>
      </c>
      <c r="I19" s="1187" t="s">
        <v>757</v>
      </c>
      <c r="J19" s="1188"/>
      <c r="K19" s="1189"/>
      <c r="S19" s="1198" t="s">
        <v>747</v>
      </c>
      <c r="T19" s="1199"/>
      <c r="U19" s="1199"/>
      <c r="V19" s="1200"/>
      <c r="W19" s="75" t="s">
        <v>700</v>
      </c>
      <c r="X19" s="229"/>
      <c r="Y19" s="229"/>
      <c r="Z19" s="229"/>
      <c r="AA19" s="229"/>
    </row>
    <row r="20" spans="1:48" x14ac:dyDescent="0.3">
      <c r="A20" s="338">
        <v>0</v>
      </c>
      <c r="B20" s="1207" t="s">
        <v>744</v>
      </c>
      <c r="C20" s="1208"/>
      <c r="D20" s="1208"/>
      <c r="E20" s="1209"/>
      <c r="F20" s="339">
        <v>0</v>
      </c>
      <c r="G20" s="340">
        <v>0</v>
      </c>
      <c r="I20" s="1190"/>
      <c r="J20" s="1191"/>
      <c r="K20" s="1192"/>
      <c r="S20" s="1210" t="s">
        <v>744</v>
      </c>
      <c r="T20" s="1211"/>
      <c r="U20" s="1211"/>
      <c r="V20" s="1212"/>
      <c r="W20" s="266">
        <f>F20*'Transportsystemer, faktorer'!E17*'Transportsystemer, faktorer'!J17+G20*'Transportsystemer, faktorer'!J17</f>
        <v>0</v>
      </c>
      <c r="X20" s="253"/>
      <c r="Y20" s="253"/>
      <c r="Z20" s="253"/>
      <c r="AA20" s="253"/>
    </row>
    <row r="21" spans="1:48" x14ac:dyDescent="0.3">
      <c r="A21" s="338">
        <v>0</v>
      </c>
      <c r="B21" s="341" t="s">
        <v>743</v>
      </c>
      <c r="C21" s="342"/>
      <c r="D21" s="342"/>
      <c r="E21" s="343"/>
      <c r="F21" s="315">
        <v>0</v>
      </c>
      <c r="G21" s="340">
        <v>0</v>
      </c>
      <c r="I21" s="1190"/>
      <c r="J21" s="1191"/>
      <c r="K21" s="1192"/>
      <c r="S21" s="261" t="s">
        <v>743</v>
      </c>
      <c r="T21" s="262"/>
      <c r="U21" s="262"/>
      <c r="V21" s="262"/>
      <c r="W21" s="267">
        <f>F21*'Transportsystemer, faktorer'!E18*'Transportsystemer, faktorer'!J18+G21*'Transportsystemer, faktorer'!J18</f>
        <v>0</v>
      </c>
      <c r="X21" s="253"/>
      <c r="Y21" s="253"/>
      <c r="Z21" s="253"/>
      <c r="AA21" s="253"/>
    </row>
    <row r="22" spans="1:48" x14ac:dyDescent="0.3">
      <c r="A22" s="338">
        <v>0</v>
      </c>
      <c r="B22" s="1213" t="s">
        <v>745</v>
      </c>
      <c r="C22" s="1214"/>
      <c r="D22" s="1214"/>
      <c r="E22" s="1215"/>
      <c r="F22" s="315">
        <v>0</v>
      </c>
      <c r="G22" s="340">
        <v>0</v>
      </c>
      <c r="I22" s="1190"/>
      <c r="J22" s="1191"/>
      <c r="K22" s="1192"/>
      <c r="S22" s="1216" t="s">
        <v>745</v>
      </c>
      <c r="T22" s="1217"/>
      <c r="U22" s="1217"/>
      <c r="V22" s="1218"/>
      <c r="W22" s="267">
        <f>F22*'Transportsystemer, faktorer'!E19*'Transportsystemer, faktorer'!J19+G22*'Transportsystemer, faktorer'!J19</f>
        <v>0</v>
      </c>
      <c r="X22" s="253"/>
      <c r="Y22" s="253"/>
      <c r="Z22" s="253"/>
      <c r="AA22" s="253"/>
    </row>
    <row r="23" spans="1:48" x14ac:dyDescent="0.3">
      <c r="A23" s="338">
        <v>0</v>
      </c>
      <c r="B23" s="341" t="s">
        <v>746</v>
      </c>
      <c r="C23" s="342"/>
      <c r="D23" s="342"/>
      <c r="E23" s="343"/>
      <c r="F23" s="315">
        <v>0</v>
      </c>
      <c r="G23" s="340">
        <v>0</v>
      </c>
      <c r="I23" s="1190"/>
      <c r="J23" s="1191"/>
      <c r="K23" s="1192"/>
      <c r="S23" s="261" t="s">
        <v>746</v>
      </c>
      <c r="T23" s="262"/>
      <c r="U23" s="262"/>
      <c r="V23" s="263"/>
      <c r="W23" s="267">
        <f>F23*'Transportsystemer, faktorer'!E20*'Transportsystemer, faktorer'!J20+G23*'Transportsystemer, faktorer'!J20</f>
        <v>0</v>
      </c>
      <c r="X23" s="253"/>
      <c r="Y23" s="253"/>
      <c r="Z23" s="253"/>
      <c r="AA23" s="253"/>
    </row>
    <row r="24" spans="1:48" x14ac:dyDescent="0.3">
      <c r="A24" s="338">
        <v>0</v>
      </c>
      <c r="B24" s="341" t="s">
        <v>749</v>
      </c>
      <c r="C24" s="342"/>
      <c r="D24" s="342"/>
      <c r="E24" s="343"/>
      <c r="F24" s="315">
        <v>0</v>
      </c>
      <c r="G24" s="340">
        <v>0</v>
      </c>
      <c r="I24" s="1190"/>
      <c r="J24" s="1191"/>
      <c r="K24" s="1192"/>
      <c r="S24" s="261" t="s">
        <v>749</v>
      </c>
      <c r="T24" s="262"/>
      <c r="U24" s="262"/>
      <c r="V24" s="263"/>
      <c r="W24" s="267">
        <f>F24*'Transportsystemer, faktorer'!E21*'Transportsystemer, faktorer'!J21+G24*'Transportsystemer, faktorer'!J21</f>
        <v>0</v>
      </c>
      <c r="X24" s="253"/>
      <c r="Y24" s="253"/>
      <c r="Z24" s="253"/>
      <c r="AA24" s="253"/>
    </row>
    <row r="25" spans="1:48" x14ac:dyDescent="0.3">
      <c r="A25" s="338">
        <v>0</v>
      </c>
      <c r="B25" s="1219" t="s">
        <v>649</v>
      </c>
      <c r="C25" s="1220"/>
      <c r="D25" s="1220"/>
      <c r="E25" s="1221"/>
      <c r="F25" s="344">
        <v>0</v>
      </c>
      <c r="G25" s="340">
        <v>0</v>
      </c>
      <c r="I25" s="1190"/>
      <c r="J25" s="1191"/>
      <c r="K25" s="1192"/>
      <c r="S25" s="1222" t="s">
        <v>649</v>
      </c>
      <c r="T25" s="1223"/>
      <c r="U25" s="1223"/>
      <c r="V25" s="1224"/>
      <c r="W25" s="268">
        <f>F25*'Transportsystemer, faktorer'!E21*'Transportsystemer, faktorer'!J21+G25*'Transportsystemer, faktorer'!J21</f>
        <v>0</v>
      </c>
      <c r="X25" s="253"/>
      <c r="Y25" s="253"/>
      <c r="Z25" s="253"/>
      <c r="AA25" s="253"/>
    </row>
    <row r="26" spans="1:48" x14ac:dyDescent="0.3">
      <c r="A26" s="345"/>
      <c r="B26" s="346"/>
      <c r="C26" s="347"/>
      <c r="D26" s="347"/>
      <c r="E26" s="348"/>
      <c r="F26" s="349" t="s">
        <v>702</v>
      </c>
      <c r="G26" s="350" t="s">
        <v>751</v>
      </c>
      <c r="I26" s="1190"/>
      <c r="J26" s="1191"/>
      <c r="K26" s="1192"/>
      <c r="S26" s="249"/>
      <c r="T26" s="251"/>
      <c r="U26" s="251"/>
      <c r="V26" s="250"/>
      <c r="W26" s="235" t="s">
        <v>700</v>
      </c>
      <c r="X26" s="229"/>
      <c r="Y26" s="229"/>
      <c r="Z26" s="229"/>
      <c r="AA26" s="229"/>
    </row>
    <row r="27" spans="1:48" ht="15" thickBot="1" x14ac:dyDescent="0.35">
      <c r="A27" s="326">
        <v>0</v>
      </c>
      <c r="B27" s="1227" t="s">
        <v>243</v>
      </c>
      <c r="C27" s="1228"/>
      <c r="D27" s="1228"/>
      <c r="E27" s="1229"/>
      <c r="F27" s="351">
        <v>0</v>
      </c>
      <c r="G27" s="352">
        <v>0</v>
      </c>
      <c r="I27" s="1193"/>
      <c r="J27" s="1194"/>
      <c r="K27" s="1195"/>
      <c r="S27" s="1201" t="s">
        <v>243</v>
      </c>
      <c r="T27" s="1202"/>
      <c r="U27" s="1202"/>
      <c r="V27" s="1203"/>
      <c r="W27" s="271">
        <f>F27*'Transportsystemer, faktorer'!E22*'Transportsystemer, faktorer'!J22+G27*'Transportsystemer, faktorer'!J22</f>
        <v>0</v>
      </c>
      <c r="X27" s="253"/>
      <c r="Y27" s="253"/>
      <c r="Z27" s="253"/>
      <c r="AA27" s="253"/>
    </row>
    <row r="28" spans="1:48" ht="15" thickBot="1" x14ac:dyDescent="0.35">
      <c r="B28" s="305"/>
      <c r="C28" s="305"/>
      <c r="D28" s="305"/>
      <c r="E28" s="305"/>
      <c r="S28" s="256"/>
      <c r="T28" s="242"/>
      <c r="U28" s="242"/>
      <c r="V28" s="242"/>
    </row>
    <row r="29" spans="1:48" ht="15" thickBot="1" x14ac:dyDescent="0.35">
      <c r="A29" s="353" t="s">
        <v>706</v>
      </c>
      <c r="B29" s="354"/>
      <c r="C29" s="354"/>
      <c r="D29" s="354"/>
      <c r="E29" s="354"/>
      <c r="F29" s="354"/>
      <c r="G29" s="355"/>
      <c r="H29" s="334"/>
    </row>
    <row r="30" spans="1:48" x14ac:dyDescent="0.3">
      <c r="A30" s="356" t="s">
        <v>777</v>
      </c>
      <c r="B30" s="357" t="s">
        <v>647</v>
      </c>
      <c r="C30" s="358"/>
      <c r="D30" s="358"/>
      <c r="E30" s="359"/>
      <c r="F30" s="336" t="s">
        <v>650</v>
      </c>
      <c r="G30" s="337" t="s">
        <v>653</v>
      </c>
      <c r="I30" s="1187" t="s">
        <v>924</v>
      </c>
      <c r="J30" s="1188"/>
      <c r="K30" s="1189"/>
      <c r="S30" s="260" t="s">
        <v>647</v>
      </c>
      <c r="T30" s="243"/>
      <c r="U30" s="243"/>
      <c r="V30" s="244"/>
      <c r="W30" s="75" t="s">
        <v>700</v>
      </c>
      <c r="X30" s="229"/>
      <c r="Y30" s="229"/>
      <c r="Z30" s="229"/>
      <c r="AA30" s="229"/>
    </row>
    <row r="31" spans="1:48" x14ac:dyDescent="0.3">
      <c r="A31" s="360">
        <v>0</v>
      </c>
      <c r="B31" s="341" t="s">
        <v>744</v>
      </c>
      <c r="C31" s="342"/>
      <c r="D31" s="342"/>
      <c r="E31" s="343"/>
      <c r="F31" s="360">
        <v>0</v>
      </c>
      <c r="G31" s="361">
        <v>0</v>
      </c>
      <c r="I31" s="1190"/>
      <c r="J31" s="1191"/>
      <c r="K31" s="1192"/>
      <c r="S31" s="261" t="s">
        <v>648</v>
      </c>
      <c r="T31" s="262"/>
      <c r="U31" s="262"/>
      <c r="V31" s="263"/>
      <c r="W31" s="267">
        <f>F31*'Transportsystemer, faktorer'!E28*'Transportsystemer, faktorer'!J28+G31*'Transportsystemer, faktorer'!J28</f>
        <v>0</v>
      </c>
      <c r="X31" s="253"/>
      <c r="Y31" s="253"/>
      <c r="Z31" s="253"/>
      <c r="AA31" s="253"/>
    </row>
    <row r="32" spans="1:48" x14ac:dyDescent="0.3">
      <c r="A32" s="360">
        <v>0</v>
      </c>
      <c r="B32" s="341" t="s">
        <v>743</v>
      </c>
      <c r="C32" s="342"/>
      <c r="D32" s="342"/>
      <c r="E32" s="343"/>
      <c r="F32" s="360">
        <v>0</v>
      </c>
      <c r="G32" s="361">
        <v>0</v>
      </c>
      <c r="I32" s="1190"/>
      <c r="J32" s="1191"/>
      <c r="K32" s="1192"/>
      <c r="S32" s="261" t="s">
        <v>743</v>
      </c>
      <c r="T32" s="262"/>
      <c r="U32" s="262"/>
      <c r="V32" s="263"/>
      <c r="W32" s="267">
        <f>F32*'Transportsystemer, faktorer'!E29*'Transportsystemer, faktorer'!J29+G32*'Transportsystemer, faktorer'!J29</f>
        <v>0</v>
      </c>
      <c r="X32" s="253"/>
      <c r="Y32" s="253"/>
      <c r="Z32" s="253"/>
      <c r="AA32" s="253"/>
    </row>
    <row r="33" spans="1:27" x14ac:dyDescent="0.3">
      <c r="A33" s="360">
        <v>0</v>
      </c>
      <c r="B33" s="341" t="s">
        <v>745</v>
      </c>
      <c r="C33" s="342"/>
      <c r="D33" s="342"/>
      <c r="E33" s="343"/>
      <c r="F33" s="360">
        <v>0</v>
      </c>
      <c r="G33" s="361">
        <v>0</v>
      </c>
      <c r="I33" s="1190"/>
      <c r="J33" s="1191"/>
      <c r="K33" s="1192"/>
      <c r="S33" s="261" t="s">
        <v>745</v>
      </c>
      <c r="T33" s="262"/>
      <c r="U33" s="262"/>
      <c r="V33" s="263"/>
      <c r="W33" s="267">
        <f>F33*'Transportsystemer, faktorer'!E30*'Transportsystemer, faktorer'!J30+G33*'Transportsystemer, faktorer'!J30</f>
        <v>0</v>
      </c>
      <c r="X33" s="253"/>
      <c r="Y33" s="253"/>
      <c r="Z33" s="253"/>
      <c r="AA33" s="253"/>
    </row>
    <row r="34" spans="1:27" x14ac:dyDescent="0.3">
      <c r="A34" s="360">
        <v>0</v>
      </c>
      <c r="B34" s="341" t="s">
        <v>746</v>
      </c>
      <c r="C34" s="342"/>
      <c r="D34" s="342"/>
      <c r="E34" s="343"/>
      <c r="F34" s="360">
        <v>0</v>
      </c>
      <c r="G34" s="361">
        <v>0</v>
      </c>
      <c r="I34" s="1190"/>
      <c r="J34" s="1191"/>
      <c r="K34" s="1192"/>
      <c r="S34" s="261" t="s">
        <v>746</v>
      </c>
      <c r="T34" s="262"/>
      <c r="U34" s="262"/>
      <c r="V34" s="263"/>
      <c r="W34" s="267">
        <f>F34*'Transportsystemer, faktorer'!E31*'Transportsystemer, faktorer'!J31+G34*'Transportsystemer, faktorer'!J31</f>
        <v>0</v>
      </c>
      <c r="X34" s="253"/>
      <c r="Y34" s="253"/>
      <c r="Z34" s="253"/>
      <c r="AA34" s="253"/>
    </row>
    <row r="35" spans="1:27" x14ac:dyDescent="0.3">
      <c r="A35" s="360">
        <v>0</v>
      </c>
      <c r="B35" s="341" t="s">
        <v>749</v>
      </c>
      <c r="C35" s="342"/>
      <c r="D35" s="342"/>
      <c r="E35" s="343"/>
      <c r="F35" s="360">
        <v>0</v>
      </c>
      <c r="G35" s="361">
        <v>0</v>
      </c>
      <c r="I35" s="1190"/>
      <c r="J35" s="1191"/>
      <c r="K35" s="1192"/>
      <c r="S35" s="261" t="s">
        <v>749</v>
      </c>
      <c r="T35" s="262"/>
      <c r="U35" s="262"/>
      <c r="V35" s="263"/>
      <c r="W35" s="267">
        <f>F35*'Transportsystemer, faktorer'!E32*'Transportsystemer, faktorer'!J32+G35*'Transportsystemer, faktorer'!J32</f>
        <v>0</v>
      </c>
      <c r="X35" s="253"/>
      <c r="Y35" s="253"/>
      <c r="Z35" s="253"/>
      <c r="AA35" s="253"/>
    </row>
    <row r="36" spans="1:27" x14ac:dyDescent="0.3">
      <c r="A36" s="360">
        <v>0</v>
      </c>
      <c r="B36" s="341" t="s">
        <v>649</v>
      </c>
      <c r="C36" s="342"/>
      <c r="D36" s="342"/>
      <c r="E36" s="343"/>
      <c r="F36" s="360">
        <v>0</v>
      </c>
      <c r="G36" s="361">
        <v>0</v>
      </c>
      <c r="I36" s="1190"/>
      <c r="J36" s="1191"/>
      <c r="K36" s="1192"/>
      <c r="S36" s="261" t="s">
        <v>649</v>
      </c>
      <c r="T36" s="262"/>
      <c r="U36" s="262"/>
      <c r="V36" s="263"/>
      <c r="W36" s="267">
        <f>F36*'Transportsystemer, faktorer'!E32*'Transportsystemer, faktorer'!J32+G36*'Transportsystemer, faktorer'!J32</f>
        <v>0</v>
      </c>
      <c r="X36" s="253"/>
      <c r="Y36" s="253"/>
      <c r="Z36" s="253"/>
      <c r="AA36" s="253"/>
    </row>
    <row r="37" spans="1:27" x14ac:dyDescent="0.3">
      <c r="A37" s="345"/>
      <c r="B37" s="346"/>
      <c r="C37" s="347"/>
      <c r="D37" s="347"/>
      <c r="E37" s="348"/>
      <c r="F37" s="362" t="s">
        <v>650</v>
      </c>
      <c r="G37" s="350" t="s">
        <v>751</v>
      </c>
      <c r="I37" s="1190"/>
      <c r="J37" s="1191"/>
      <c r="K37" s="1192"/>
      <c r="S37" s="249"/>
      <c r="T37" s="251"/>
      <c r="U37" s="251"/>
      <c r="V37" s="250"/>
      <c r="W37" s="225" t="s">
        <v>700</v>
      </c>
      <c r="X37" s="253"/>
      <c r="Y37" s="253"/>
      <c r="Z37" s="253"/>
      <c r="AA37" s="253"/>
    </row>
    <row r="38" spans="1:27" x14ac:dyDescent="0.3">
      <c r="A38" s="360">
        <v>0</v>
      </c>
      <c r="B38" s="341" t="s">
        <v>243</v>
      </c>
      <c r="C38" s="342"/>
      <c r="D38" s="342"/>
      <c r="E38" s="343"/>
      <c r="F38" s="360">
        <v>0</v>
      </c>
      <c r="G38" s="361">
        <v>0</v>
      </c>
      <c r="I38" s="1190"/>
      <c r="J38" s="1191"/>
      <c r="K38" s="1192"/>
      <c r="S38" s="261" t="s">
        <v>243</v>
      </c>
      <c r="T38" s="262"/>
      <c r="U38" s="262"/>
      <c r="V38" s="263"/>
      <c r="W38" s="267">
        <f>F38*'Transportsystemer, faktorer'!E33*'Transportsystemer, faktorer'!J33+G38*'Transportsystemer, faktorer'!J33</f>
        <v>0</v>
      </c>
      <c r="X38" s="253"/>
      <c r="Y38" s="253"/>
      <c r="Z38" s="253"/>
      <c r="AA38" s="253"/>
    </row>
    <row r="39" spans="1:27" x14ac:dyDescent="0.3">
      <c r="A39" s="363"/>
      <c r="B39" s="364"/>
      <c r="C39" s="347"/>
      <c r="D39" s="347"/>
      <c r="E39" s="348"/>
      <c r="F39" s="349" t="s">
        <v>650</v>
      </c>
      <c r="G39" s="350" t="s">
        <v>652</v>
      </c>
      <c r="I39" s="1190"/>
      <c r="J39" s="1191"/>
      <c r="K39" s="1192"/>
      <c r="S39" s="265"/>
      <c r="T39" s="251"/>
      <c r="U39" s="251"/>
      <c r="V39" s="250"/>
      <c r="W39" s="225" t="s">
        <v>700</v>
      </c>
      <c r="X39" s="229"/>
      <c r="Y39" s="229"/>
      <c r="Z39" s="229"/>
      <c r="AA39" s="229"/>
    </row>
    <row r="40" spans="1:27" ht="15" thickBot="1" x14ac:dyDescent="0.35">
      <c r="A40" s="365">
        <v>0</v>
      </c>
      <c r="B40" s="366" t="s">
        <v>651</v>
      </c>
      <c r="C40" s="367"/>
      <c r="D40" s="367"/>
      <c r="E40" s="368"/>
      <c r="F40" s="329">
        <v>0</v>
      </c>
      <c r="G40" s="369">
        <v>0</v>
      </c>
      <c r="I40" s="1193"/>
      <c r="J40" s="1194"/>
      <c r="K40" s="1195"/>
      <c r="S40" s="246" t="s">
        <v>651</v>
      </c>
      <c r="T40" s="247"/>
      <c r="U40" s="247"/>
      <c r="V40" s="248"/>
      <c r="W40" s="270">
        <f>F40*'Transportsystemer, faktorer'!E34*'Transportsystemer, faktorer'!J34+G40*'Transportsystemer, faktorer'!J34</f>
        <v>0</v>
      </c>
      <c r="X40" s="253"/>
      <c r="Y40" s="253"/>
      <c r="Z40" s="253"/>
      <c r="AA40" s="253"/>
    </row>
    <row r="42" spans="1:27" x14ac:dyDescent="0.3">
      <c r="A42" s="314"/>
      <c r="B42" s="1226"/>
      <c r="C42" s="1226"/>
      <c r="D42" s="1226"/>
      <c r="E42" s="1226"/>
      <c r="F42" s="314"/>
      <c r="G42" s="314"/>
      <c r="H42" s="334"/>
    </row>
    <row r="43" spans="1:27" ht="15" thickBot="1" x14ac:dyDescent="0.35">
      <c r="A43" s="334" t="s">
        <v>338</v>
      </c>
      <c r="S43" s="72"/>
      <c r="AA43" s="23"/>
    </row>
    <row r="44" spans="1:27" x14ac:dyDescent="0.3">
      <c r="A44" s="335" t="s">
        <v>777</v>
      </c>
      <c r="B44" s="370" t="s">
        <v>849</v>
      </c>
      <c r="C44" s="337" t="s">
        <v>654</v>
      </c>
      <c r="D44" s="370" t="s">
        <v>7</v>
      </c>
      <c r="E44" s="337" t="s">
        <v>654</v>
      </c>
      <c r="F44" s="370" t="s">
        <v>8</v>
      </c>
      <c r="G44" s="337" t="s">
        <v>654</v>
      </c>
      <c r="H44" s="370" t="s">
        <v>5</v>
      </c>
      <c r="I44" s="337" t="s">
        <v>654</v>
      </c>
      <c r="J44" s="370" t="s">
        <v>6</v>
      </c>
      <c r="K44" s="337" t="s">
        <v>654</v>
      </c>
      <c r="L44" s="370" t="s">
        <v>9</v>
      </c>
      <c r="M44" s="337" t="s">
        <v>654</v>
      </c>
      <c r="N44" s="308" t="s">
        <v>553</v>
      </c>
      <c r="O44" s="337" t="s">
        <v>654</v>
      </c>
      <c r="P44" s="308" t="s">
        <v>701</v>
      </c>
      <c r="Q44" s="337" t="s">
        <v>654</v>
      </c>
      <c r="R44" s="371"/>
      <c r="S44" s="1198" t="s">
        <v>338</v>
      </c>
      <c r="T44" s="1199"/>
      <c r="U44" s="75" t="s">
        <v>708</v>
      </c>
      <c r="W44" s="229"/>
      <c r="X44" s="229"/>
      <c r="Y44" s="229"/>
      <c r="Z44" s="229"/>
      <c r="AA44" s="254"/>
    </row>
    <row r="45" spans="1:27" x14ac:dyDescent="0.3">
      <c r="A45" s="372"/>
      <c r="B45" s="373">
        <v>110</v>
      </c>
      <c r="C45" s="361"/>
      <c r="D45" s="373">
        <v>110</v>
      </c>
      <c r="E45" s="361"/>
      <c r="F45" s="373">
        <v>110</v>
      </c>
      <c r="G45" s="361"/>
      <c r="H45" s="373">
        <v>150</v>
      </c>
      <c r="I45" s="361"/>
      <c r="J45" s="373">
        <v>150</v>
      </c>
      <c r="K45" s="361"/>
      <c r="L45" s="373">
        <v>100</v>
      </c>
      <c r="M45" s="361"/>
      <c r="N45" s="313">
        <v>100</v>
      </c>
      <c r="O45" s="361"/>
      <c r="P45" s="373">
        <v>100</v>
      </c>
      <c r="Q45" s="361"/>
      <c r="R45" s="374"/>
      <c r="S45" s="231" t="s">
        <v>3</v>
      </c>
      <c r="T45" s="23"/>
      <c r="U45" s="130">
        <f>(SUMPRODUCT(C45:C61,'Transportsystemer, faktorer'!C39:C55)+C64*1000)*'Transportsystemer, faktorer'!E58</f>
        <v>0</v>
      </c>
      <c r="V45" s="228"/>
      <c r="W45" s="228"/>
      <c r="X45" s="228"/>
      <c r="Y45" s="228"/>
      <c r="Z45" s="228"/>
      <c r="AA45" s="23"/>
    </row>
    <row r="46" spans="1:27" x14ac:dyDescent="0.3">
      <c r="A46" s="372"/>
      <c r="B46" s="373">
        <v>160</v>
      </c>
      <c r="C46" s="361"/>
      <c r="D46" s="373">
        <v>160</v>
      </c>
      <c r="E46" s="361"/>
      <c r="F46" s="373">
        <v>160</v>
      </c>
      <c r="G46" s="361"/>
      <c r="H46" s="373">
        <v>200</v>
      </c>
      <c r="I46" s="361"/>
      <c r="J46" s="373">
        <v>200</v>
      </c>
      <c r="K46" s="361"/>
      <c r="L46" s="373">
        <v>125</v>
      </c>
      <c r="M46" s="361"/>
      <c r="N46" s="313">
        <v>125</v>
      </c>
      <c r="O46" s="361"/>
      <c r="P46" s="373">
        <v>125</v>
      </c>
      <c r="Q46" s="361"/>
      <c r="R46" s="313"/>
      <c r="S46" s="231" t="s">
        <v>7</v>
      </c>
      <c r="T46" s="23"/>
      <c r="U46" s="130">
        <f>(SUMPRODUCT(E45:E61,'Transportsystemer, faktorer'!E39:E55)+E64*1000)*'Transportsystemer, faktorer'!E59</f>
        <v>0</v>
      </c>
      <c r="V46" s="228"/>
      <c r="W46" s="228"/>
      <c r="X46" s="228"/>
      <c r="Y46" s="228"/>
      <c r="Z46" s="228"/>
      <c r="AA46" s="23"/>
    </row>
    <row r="47" spans="1:27" x14ac:dyDescent="0.3">
      <c r="A47" s="372"/>
      <c r="B47" s="373">
        <v>200</v>
      </c>
      <c r="C47" s="361"/>
      <c r="D47" s="373">
        <v>200</v>
      </c>
      <c r="E47" s="361"/>
      <c r="F47" s="373">
        <v>200</v>
      </c>
      <c r="G47" s="361"/>
      <c r="H47" s="373">
        <v>250</v>
      </c>
      <c r="I47" s="361"/>
      <c r="J47" s="373">
        <v>250</v>
      </c>
      <c r="K47" s="361"/>
      <c r="L47" s="373">
        <v>150</v>
      </c>
      <c r="M47" s="361"/>
      <c r="N47" s="313">
        <v>150</v>
      </c>
      <c r="O47" s="361"/>
      <c r="P47" s="373">
        <v>150</v>
      </c>
      <c r="Q47" s="361"/>
      <c r="R47" s="313"/>
      <c r="S47" s="231" t="s">
        <v>8</v>
      </c>
      <c r="T47" s="23"/>
      <c r="U47" s="130">
        <f>(SUMPRODUCT(G45:G61,'Transportsystemer, faktorer'!G39:G55)+G64*1000)*'Transportsystemer, faktorer'!E60</f>
        <v>0</v>
      </c>
      <c r="V47" s="228"/>
      <c r="W47" s="228"/>
      <c r="X47" s="228"/>
      <c r="Y47" s="228"/>
      <c r="Z47" s="228"/>
      <c r="AA47" s="23"/>
    </row>
    <row r="48" spans="1:27" x14ac:dyDescent="0.3">
      <c r="A48" s="372"/>
      <c r="B48" s="373">
        <v>225</v>
      </c>
      <c r="C48" s="361"/>
      <c r="D48" s="373">
        <v>225</v>
      </c>
      <c r="E48" s="361"/>
      <c r="F48" s="373">
        <v>225</v>
      </c>
      <c r="G48" s="361"/>
      <c r="H48" s="373">
        <v>300</v>
      </c>
      <c r="I48" s="361"/>
      <c r="J48" s="373">
        <v>300</v>
      </c>
      <c r="K48" s="361"/>
      <c r="L48" s="373">
        <v>200</v>
      </c>
      <c r="M48" s="361"/>
      <c r="N48" s="313">
        <v>200</v>
      </c>
      <c r="O48" s="361"/>
      <c r="P48" s="373">
        <v>200</v>
      </c>
      <c r="Q48" s="361"/>
      <c r="R48" s="313"/>
      <c r="S48" s="231" t="s">
        <v>5</v>
      </c>
      <c r="T48" s="23"/>
      <c r="U48" s="130">
        <f>(SUMPRODUCT(I45:I61,'Transportsystemer, faktorer'!I39:I55)+I64*1000)*'Transportsystemer, faktorer'!E61</f>
        <v>0</v>
      </c>
      <c r="V48" s="228"/>
      <c r="W48" s="228"/>
      <c r="X48" s="228"/>
      <c r="Y48" s="228"/>
      <c r="Z48" s="228"/>
      <c r="AA48" s="23"/>
    </row>
    <row r="49" spans="1:49" x14ac:dyDescent="0.3">
      <c r="A49" s="372"/>
      <c r="B49" s="373">
        <v>250</v>
      </c>
      <c r="C49" s="361"/>
      <c r="D49" s="373">
        <v>250</v>
      </c>
      <c r="E49" s="361"/>
      <c r="F49" s="373">
        <v>250</v>
      </c>
      <c r="G49" s="361"/>
      <c r="H49" s="373">
        <v>400</v>
      </c>
      <c r="I49" s="361"/>
      <c r="J49" s="373">
        <v>400</v>
      </c>
      <c r="K49" s="361"/>
      <c r="L49" s="373">
        <v>250</v>
      </c>
      <c r="M49" s="361"/>
      <c r="N49" s="313">
        <v>250</v>
      </c>
      <c r="O49" s="361"/>
      <c r="P49" s="373">
        <v>250</v>
      </c>
      <c r="Q49" s="361"/>
      <c r="R49" s="313"/>
      <c r="S49" s="231" t="s">
        <v>6</v>
      </c>
      <c r="T49" s="23"/>
      <c r="U49" s="130">
        <f>(SUMPRODUCT(K45:K61,'Transportsystemer, faktorer'!K39:K55)+K64*1000)*'Transportsystemer, faktorer'!E62</f>
        <v>0</v>
      </c>
      <c r="V49" s="228"/>
      <c r="W49" s="228"/>
      <c r="X49" s="228"/>
      <c r="Y49" s="228"/>
      <c r="Z49" s="228"/>
      <c r="AA49" s="23"/>
    </row>
    <row r="50" spans="1:49" x14ac:dyDescent="0.3">
      <c r="A50" s="372"/>
      <c r="B50" s="373">
        <v>280</v>
      </c>
      <c r="C50" s="361"/>
      <c r="D50" s="373">
        <v>280</v>
      </c>
      <c r="E50" s="361"/>
      <c r="F50" s="373">
        <v>280</v>
      </c>
      <c r="G50" s="361"/>
      <c r="H50" s="373">
        <v>500</v>
      </c>
      <c r="I50" s="361"/>
      <c r="J50" s="373">
        <v>500</v>
      </c>
      <c r="K50" s="361"/>
      <c r="L50" s="373">
        <v>300</v>
      </c>
      <c r="M50" s="361"/>
      <c r="N50" s="313">
        <v>300</v>
      </c>
      <c r="O50" s="361"/>
      <c r="P50" s="373">
        <v>300</v>
      </c>
      <c r="Q50" s="361"/>
      <c r="R50" s="313"/>
      <c r="S50" s="231" t="s">
        <v>9</v>
      </c>
      <c r="T50" s="23"/>
      <c r="U50" s="130">
        <f>(SUMPRODUCT(M45:M61,'Transportsystemer, faktorer'!M39:M55)+M64*1000)*'Transportsystemer, faktorer'!E63</f>
        <v>0</v>
      </c>
      <c r="V50" s="228"/>
      <c r="W50" s="228"/>
      <c r="X50" s="228"/>
      <c r="Y50" s="228"/>
      <c r="Z50" s="228"/>
      <c r="AA50" s="23"/>
    </row>
    <row r="51" spans="1:49" x14ac:dyDescent="0.3">
      <c r="A51" s="372"/>
      <c r="B51" s="373">
        <v>315</v>
      </c>
      <c r="C51" s="361"/>
      <c r="D51" s="373">
        <v>315</v>
      </c>
      <c r="E51" s="361"/>
      <c r="F51" s="373">
        <v>315</v>
      </c>
      <c r="G51" s="361"/>
      <c r="H51" s="373">
        <v>600</v>
      </c>
      <c r="I51" s="361"/>
      <c r="J51" s="373">
        <v>600</v>
      </c>
      <c r="K51" s="361"/>
      <c r="L51" s="373">
        <v>400</v>
      </c>
      <c r="M51" s="361"/>
      <c r="N51" s="313">
        <v>350</v>
      </c>
      <c r="O51" s="361"/>
      <c r="P51" s="373">
        <v>350</v>
      </c>
      <c r="Q51" s="361"/>
      <c r="R51" s="313"/>
      <c r="S51" s="231" t="s">
        <v>553</v>
      </c>
      <c r="T51" s="23"/>
      <c r="U51" s="130">
        <f>(SUMPRODUCT(O45:O61,'Transportsystemer, faktorer'!O39:O55)+O64*1000)*'Transportsystemer, faktorer'!E64</f>
        <v>0</v>
      </c>
      <c r="V51" s="228"/>
      <c r="W51" s="228"/>
      <c r="X51" s="228"/>
      <c r="Y51" s="228"/>
      <c r="Z51" s="228"/>
      <c r="AA51" s="23"/>
    </row>
    <row r="52" spans="1:49" ht="15" thickBot="1" x14ac:dyDescent="0.35">
      <c r="A52" s="372"/>
      <c r="B52" s="373">
        <v>355</v>
      </c>
      <c r="C52" s="361"/>
      <c r="D52" s="373">
        <v>355</v>
      </c>
      <c r="E52" s="361"/>
      <c r="F52" s="373">
        <v>355</v>
      </c>
      <c r="G52" s="361"/>
      <c r="H52" s="373">
        <v>800</v>
      </c>
      <c r="I52" s="361"/>
      <c r="J52" s="373">
        <v>800</v>
      </c>
      <c r="K52" s="361"/>
      <c r="L52" s="373">
        <v>500</v>
      </c>
      <c r="M52" s="361"/>
      <c r="N52" s="313">
        <v>400</v>
      </c>
      <c r="O52" s="361"/>
      <c r="P52" s="373">
        <v>400</v>
      </c>
      <c r="Q52" s="361"/>
      <c r="R52" s="313"/>
      <c r="S52" s="232" t="s">
        <v>14</v>
      </c>
      <c r="T52" s="49"/>
      <c r="U52" s="269">
        <f>(SUMPRODUCT(Q45:Q61,'Transportsystemer, faktorer'!Q39:Q55)+Q64*1000)*'Transportsystemer, faktorer'!E65</f>
        <v>0</v>
      </c>
      <c r="W52" s="228"/>
      <c r="X52" s="228"/>
      <c r="Y52" s="228"/>
      <c r="Z52" s="228"/>
      <c r="AA52" s="23"/>
    </row>
    <row r="53" spans="1:49" ht="15" thickBot="1" x14ac:dyDescent="0.35">
      <c r="A53" s="372"/>
      <c r="B53" s="373">
        <v>400</v>
      </c>
      <c r="C53" s="361"/>
      <c r="D53" s="373">
        <v>400</v>
      </c>
      <c r="E53" s="361"/>
      <c r="F53" s="373">
        <v>400</v>
      </c>
      <c r="G53" s="361"/>
      <c r="H53" s="373">
        <v>1000</v>
      </c>
      <c r="I53" s="361"/>
      <c r="J53" s="373">
        <v>1000</v>
      </c>
      <c r="K53" s="361"/>
      <c r="L53" s="373">
        <v>600</v>
      </c>
      <c r="M53" s="361"/>
      <c r="N53" s="313">
        <v>450</v>
      </c>
      <c r="O53" s="361"/>
      <c r="P53" s="373">
        <v>450</v>
      </c>
      <c r="Q53" s="361"/>
      <c r="R53" s="313"/>
      <c r="S53" s="76"/>
      <c r="T53" s="228"/>
      <c r="U53" s="253"/>
      <c r="V53" s="228"/>
      <c r="W53" s="228"/>
      <c r="X53" s="228"/>
      <c r="Y53" s="228"/>
      <c r="Z53" s="228"/>
      <c r="AA53" s="23"/>
    </row>
    <row r="54" spans="1:49" x14ac:dyDescent="0.3">
      <c r="A54" s="372"/>
      <c r="B54" s="373">
        <v>450</v>
      </c>
      <c r="C54" s="361"/>
      <c r="D54" s="373">
        <v>450</v>
      </c>
      <c r="E54" s="361"/>
      <c r="F54" s="373">
        <v>450</v>
      </c>
      <c r="G54" s="361"/>
      <c r="H54" s="373">
        <v>1200</v>
      </c>
      <c r="I54" s="361"/>
      <c r="J54" s="373">
        <v>1200</v>
      </c>
      <c r="K54" s="361"/>
      <c r="L54" s="373">
        <v>700</v>
      </c>
      <c r="M54" s="361"/>
      <c r="N54" s="313">
        <v>500</v>
      </c>
      <c r="O54" s="361"/>
      <c r="P54" s="373">
        <v>500</v>
      </c>
      <c r="Q54" s="361"/>
      <c r="R54" s="313"/>
      <c r="S54" s="51" t="s">
        <v>713</v>
      </c>
      <c r="T54" s="45"/>
      <c r="U54" s="259" t="s">
        <v>708</v>
      </c>
      <c r="V54" s="228"/>
      <c r="W54" s="228"/>
      <c r="X54" s="228"/>
      <c r="Y54" s="228"/>
      <c r="Z54" s="228"/>
      <c r="AA54" s="23"/>
    </row>
    <row r="55" spans="1:49" x14ac:dyDescent="0.3">
      <c r="A55" s="372"/>
      <c r="B55" s="373">
        <v>500</v>
      </c>
      <c r="C55" s="361"/>
      <c r="D55" s="373">
        <v>500</v>
      </c>
      <c r="E55" s="361"/>
      <c r="F55" s="373">
        <v>500</v>
      </c>
      <c r="G55" s="361"/>
      <c r="H55" s="373">
        <v>1400</v>
      </c>
      <c r="I55" s="361"/>
      <c r="J55" s="373">
        <v>1400</v>
      </c>
      <c r="K55" s="361"/>
      <c r="L55" s="373">
        <v>800</v>
      </c>
      <c r="M55" s="361"/>
      <c r="N55" s="313">
        <v>600</v>
      </c>
      <c r="O55" s="361"/>
      <c r="P55" s="373">
        <v>600</v>
      </c>
      <c r="Q55" s="361"/>
      <c r="R55" s="313"/>
      <c r="S55" s="231" t="s">
        <v>3</v>
      </c>
      <c r="T55" s="228"/>
      <c r="U55" s="266" t="e">
        <f>(SUMPRODUCT(C45:C61,'Transportsystemer, faktorer'!C39:C55)+C64*1000)*('Transportsystemer, faktorer'!#REF!*D68+'Transportsystemer, faktorer'!#REF!*E68+'Transportsystemer, faktorer'!#REF!*F68)/1000</f>
        <v>#REF!</v>
      </c>
      <c r="V55" s="228"/>
      <c r="W55" s="228"/>
      <c r="X55" s="228"/>
      <c r="Y55" s="228"/>
      <c r="Z55" s="228"/>
      <c r="AA55" s="23"/>
    </row>
    <row r="56" spans="1:49" x14ac:dyDescent="0.3">
      <c r="A56" s="372"/>
      <c r="B56" s="373">
        <v>560</v>
      </c>
      <c r="C56" s="361"/>
      <c r="D56" s="373">
        <v>560</v>
      </c>
      <c r="E56" s="361"/>
      <c r="F56" s="373">
        <v>560</v>
      </c>
      <c r="G56" s="361"/>
      <c r="H56" s="373">
        <v>1600</v>
      </c>
      <c r="I56" s="361"/>
      <c r="J56" s="373">
        <v>1600</v>
      </c>
      <c r="K56" s="361"/>
      <c r="L56" s="373">
        <v>900</v>
      </c>
      <c r="M56" s="361"/>
      <c r="N56" s="313">
        <v>700</v>
      </c>
      <c r="O56" s="361"/>
      <c r="P56" s="373">
        <v>700</v>
      </c>
      <c r="Q56" s="361"/>
      <c r="R56" s="313"/>
      <c r="S56" s="231" t="s">
        <v>7</v>
      </c>
      <c r="T56" s="228"/>
      <c r="U56" s="267" t="e">
        <f>(SUMPRODUCT(E45:E61,'Transportsystemer, faktorer'!E39:E55)+E64*1000)*('Transportsystemer, faktorer'!#REF!*D69+'Transportsystemer, faktorer'!#REF!*E69+'Transportsystemer, faktorer'!#REF!*F69)/1000</f>
        <v>#REF!</v>
      </c>
      <c r="V56" s="228"/>
      <c r="W56" s="228"/>
      <c r="X56" s="228"/>
      <c r="Y56" s="228"/>
      <c r="Z56" s="228"/>
      <c r="AA56" s="23"/>
    </row>
    <row r="57" spans="1:49" x14ac:dyDescent="0.3">
      <c r="A57" s="372"/>
      <c r="B57" s="373">
        <v>630</v>
      </c>
      <c r="C57" s="361"/>
      <c r="D57" s="373">
        <v>630</v>
      </c>
      <c r="E57" s="361"/>
      <c r="F57" s="373">
        <v>630</v>
      </c>
      <c r="G57" s="361"/>
      <c r="H57" s="373">
        <v>1800</v>
      </c>
      <c r="I57" s="361"/>
      <c r="J57" s="373">
        <v>1800</v>
      </c>
      <c r="K57" s="361"/>
      <c r="L57" s="373">
        <v>1000</v>
      </c>
      <c r="M57" s="361"/>
      <c r="N57" s="313">
        <v>800</v>
      </c>
      <c r="O57" s="361"/>
      <c r="P57" s="373">
        <v>800</v>
      </c>
      <c r="Q57" s="361"/>
      <c r="R57" s="313"/>
      <c r="S57" s="231" t="s">
        <v>8</v>
      </c>
      <c r="T57" s="228"/>
      <c r="U57" s="267" t="e">
        <f>(SUMPRODUCT(G45:G61,'Transportsystemer, faktorer'!G39:G55)+G64*1000)*('Transportsystemer, faktorer'!#REF!*D70+'Transportsystemer, faktorer'!#REF!*E70+'Transportsystemer, faktorer'!#REF!*F70)/1000</f>
        <v>#REF!</v>
      </c>
      <c r="V57" s="228"/>
      <c r="W57" s="228"/>
      <c r="X57" s="228"/>
      <c r="Y57" s="228"/>
      <c r="Z57" s="228"/>
      <c r="AA57" s="23"/>
    </row>
    <row r="58" spans="1:49" x14ac:dyDescent="0.3">
      <c r="A58" s="372"/>
      <c r="B58" s="373">
        <v>710</v>
      </c>
      <c r="C58" s="361"/>
      <c r="D58" s="373"/>
      <c r="E58" s="361"/>
      <c r="F58" s="373"/>
      <c r="G58" s="361"/>
      <c r="H58" s="373">
        <v>2000</v>
      </c>
      <c r="I58" s="361"/>
      <c r="J58" s="373">
        <v>2000</v>
      </c>
      <c r="K58" s="361"/>
      <c r="L58" s="373">
        <v>1200</v>
      </c>
      <c r="M58" s="361"/>
      <c r="N58" s="313">
        <v>900</v>
      </c>
      <c r="O58" s="361"/>
      <c r="P58" s="373">
        <v>900</v>
      </c>
      <c r="Q58" s="361"/>
      <c r="R58" s="313"/>
      <c r="S58" s="231" t="s">
        <v>5</v>
      </c>
      <c r="T58" s="228"/>
      <c r="U58" s="267" t="e">
        <f>(SUMPRODUCT(I45:I61,'Transportsystemer, faktorer'!I39:I55)+I64*1000)*('Transportsystemer, faktorer'!#REF!*D71+'Transportsystemer, faktorer'!#REF!*E71+'Transportsystemer, faktorer'!#REF!*F71)/1000</f>
        <v>#REF!</v>
      </c>
      <c r="V58" s="228"/>
      <c r="W58" s="228"/>
      <c r="X58" s="228"/>
      <c r="Y58" s="228"/>
      <c r="Z58" s="228"/>
      <c r="AA58" s="23"/>
    </row>
    <row r="59" spans="1:49" x14ac:dyDescent="0.3">
      <c r="A59" s="372"/>
      <c r="B59" s="373">
        <v>800</v>
      </c>
      <c r="C59" s="361"/>
      <c r="D59" s="373"/>
      <c r="E59" s="361"/>
      <c r="F59" s="373"/>
      <c r="G59" s="361"/>
      <c r="H59" s="373">
        <v>2400</v>
      </c>
      <c r="I59" s="361"/>
      <c r="J59" s="373">
        <v>2400</v>
      </c>
      <c r="K59" s="361"/>
      <c r="L59" s="373">
        <v>1400</v>
      </c>
      <c r="M59" s="361"/>
      <c r="N59" s="313"/>
      <c r="O59" s="361"/>
      <c r="P59" s="373">
        <v>1000</v>
      </c>
      <c r="Q59" s="361"/>
      <c r="R59" s="313"/>
      <c r="S59" s="231" t="s">
        <v>6</v>
      </c>
      <c r="T59" s="228"/>
      <c r="U59" s="267" t="e">
        <f>(SUMPRODUCT(K45:K61,'Transportsystemer, faktorer'!K39:K55)+K64*1000)*('Transportsystemer, faktorer'!#REF!*D72+'Transportsystemer, faktorer'!#REF!*E72+'Transportsystemer, faktorer'!#REF!*F72)/1000</f>
        <v>#REF!</v>
      </c>
      <c r="V59" s="228"/>
      <c r="W59" s="228"/>
      <c r="X59" s="228"/>
      <c r="Y59" s="228"/>
      <c r="Z59" s="228"/>
      <c r="AA59" s="23"/>
    </row>
    <row r="60" spans="1:49" x14ac:dyDescent="0.3">
      <c r="A60" s="372"/>
      <c r="B60" s="373">
        <v>900</v>
      </c>
      <c r="C60" s="361"/>
      <c r="D60" s="373"/>
      <c r="E60" s="361"/>
      <c r="F60" s="373"/>
      <c r="G60" s="361"/>
      <c r="H60" s="373">
        <v>3000</v>
      </c>
      <c r="I60" s="361"/>
      <c r="J60" s="373">
        <v>3000</v>
      </c>
      <c r="K60" s="361"/>
      <c r="L60" s="373">
        <v>1600</v>
      </c>
      <c r="M60" s="361"/>
      <c r="N60" s="313"/>
      <c r="O60" s="361"/>
      <c r="P60" s="373">
        <v>1100</v>
      </c>
      <c r="Q60" s="361"/>
      <c r="R60" s="313"/>
      <c r="S60" s="231" t="s">
        <v>9</v>
      </c>
      <c r="T60" s="228"/>
      <c r="U60" s="267" t="e">
        <f>(SUMPRODUCT(M45:M61,'Transportsystemer, faktorer'!M39:M55)+M64*1000)*('Transportsystemer, faktorer'!#REF!*D73+'Transportsystemer, faktorer'!#REF!*E73+'Transportsystemer, faktorer'!#REF!*F73)/1000</f>
        <v>#REF!</v>
      </c>
      <c r="V60" s="228"/>
      <c r="W60" s="228"/>
      <c r="X60" s="228"/>
      <c r="Y60" s="228"/>
      <c r="Z60" s="228"/>
      <c r="AA60" s="23"/>
      <c r="AW60" s="228"/>
    </row>
    <row r="61" spans="1:49" ht="15" thickBot="1" x14ac:dyDescent="0.35">
      <c r="A61" s="375"/>
      <c r="B61" s="376">
        <v>1000</v>
      </c>
      <c r="C61" s="369"/>
      <c r="D61" s="376"/>
      <c r="E61" s="369"/>
      <c r="F61" s="376"/>
      <c r="G61" s="369"/>
      <c r="H61" s="376"/>
      <c r="I61" s="369"/>
      <c r="J61" s="376"/>
      <c r="K61" s="369"/>
      <c r="L61" s="376">
        <v>1800</v>
      </c>
      <c r="M61" s="369"/>
      <c r="N61" s="318"/>
      <c r="O61" s="369"/>
      <c r="P61" s="376">
        <v>1200</v>
      </c>
      <c r="Q61" s="369"/>
      <c r="R61" s="313"/>
      <c r="S61" s="231" t="s">
        <v>553</v>
      </c>
      <c r="T61" s="228"/>
      <c r="U61" s="267" t="e">
        <f>(SUMPRODUCT(O45:O61,'Transportsystemer, faktorer'!O39:O55)+O64*1000)*('Transportsystemer, faktorer'!#REF!*D74+'Transportsystemer, faktorer'!#REF!*E74+'Transportsystemer, faktorer'!#REF!*F74)/1000</f>
        <v>#REF!</v>
      </c>
      <c r="V61" s="228"/>
      <c r="W61" s="228"/>
      <c r="X61" s="228"/>
      <c r="Y61" s="228"/>
      <c r="Z61" s="228"/>
      <c r="AA61" s="23"/>
      <c r="AW61" s="228"/>
    </row>
    <row r="62" spans="1:49" ht="15" thickBot="1" x14ac:dyDescent="0.35">
      <c r="A62" s="1097" t="s">
        <v>688</v>
      </c>
      <c r="B62" s="1097"/>
      <c r="C62" s="1097"/>
      <c r="D62" s="1097"/>
      <c r="E62" s="1097"/>
      <c r="F62" s="1097"/>
      <c r="G62" s="1097"/>
      <c r="H62" s="1097"/>
      <c r="I62" s="1097"/>
      <c r="J62" s="1097"/>
      <c r="K62" s="1097"/>
      <c r="L62" s="1097"/>
      <c r="M62" s="1097"/>
      <c r="N62" s="1097"/>
      <c r="O62" s="1097"/>
      <c r="P62" s="1097"/>
      <c r="Q62" s="1097"/>
      <c r="R62" s="377"/>
      <c r="S62" s="232" t="s">
        <v>14</v>
      </c>
      <c r="T62" s="258"/>
      <c r="U62" s="270" t="e">
        <f>(SUMPRODUCT(Q45:Q61,'Transportsystemer, faktorer'!Q39:Q55)+Q64*1000)*('Transportsystemer, faktorer'!#REF!*D75+'Transportsystemer, faktorer'!#REF!*E75+'Transportsystemer, faktorer'!#REF!*F75)/1000</f>
        <v>#REF!</v>
      </c>
      <c r="V62" s="228"/>
      <c r="W62" s="245"/>
      <c r="X62" s="245"/>
      <c r="Y62" s="245"/>
      <c r="Z62" s="245"/>
      <c r="AA62" s="257"/>
      <c r="AW62" s="228"/>
    </row>
    <row r="63" spans="1:49" x14ac:dyDescent="0.3">
      <c r="A63" s="335" t="s">
        <v>777</v>
      </c>
      <c r="B63" s="378"/>
      <c r="C63" s="337" t="s">
        <v>705</v>
      </c>
      <c r="D63" s="378"/>
      <c r="E63" s="337" t="s">
        <v>705</v>
      </c>
      <c r="F63" s="378"/>
      <c r="G63" s="337" t="s">
        <v>705</v>
      </c>
      <c r="H63" s="378"/>
      <c r="I63" s="337" t="s">
        <v>705</v>
      </c>
      <c r="J63" s="378"/>
      <c r="K63" s="337" t="s">
        <v>705</v>
      </c>
      <c r="L63" s="378"/>
      <c r="M63" s="337" t="s">
        <v>705</v>
      </c>
      <c r="N63" s="378"/>
      <c r="O63" s="337" t="s">
        <v>705</v>
      </c>
      <c r="P63" s="307"/>
      <c r="Q63" s="337" t="s">
        <v>705</v>
      </c>
      <c r="R63" s="314"/>
      <c r="S63" s="71"/>
      <c r="T63" s="228"/>
      <c r="U63" s="229"/>
      <c r="V63" s="255"/>
      <c r="W63" s="245"/>
      <c r="X63" s="255"/>
      <c r="Y63" s="229"/>
      <c r="Z63" s="228"/>
      <c r="AA63" s="254"/>
      <c r="AW63" s="228"/>
    </row>
    <row r="64" spans="1:49" ht="15" thickBot="1" x14ac:dyDescent="0.35">
      <c r="A64" s="375"/>
      <c r="B64" s="379" t="s">
        <v>3</v>
      </c>
      <c r="C64" s="369"/>
      <c r="D64" s="379" t="s">
        <v>7</v>
      </c>
      <c r="E64" s="369"/>
      <c r="F64" s="379" t="s">
        <v>8</v>
      </c>
      <c r="G64" s="369">
        <v>0</v>
      </c>
      <c r="H64" s="379" t="s">
        <v>5</v>
      </c>
      <c r="I64" s="369">
        <v>0</v>
      </c>
      <c r="J64" s="379" t="s">
        <v>6</v>
      </c>
      <c r="K64" s="369">
        <v>0</v>
      </c>
      <c r="L64" s="379" t="s">
        <v>9</v>
      </c>
      <c r="M64" s="369">
        <v>0</v>
      </c>
      <c r="N64" s="379" t="s">
        <v>553</v>
      </c>
      <c r="O64" s="369">
        <v>0</v>
      </c>
      <c r="P64" s="380" t="s">
        <v>14</v>
      </c>
      <c r="Q64" s="369">
        <v>0</v>
      </c>
      <c r="R64" s="374"/>
      <c r="T64" s="229"/>
      <c r="U64" s="228"/>
      <c r="V64" s="245"/>
      <c r="W64" s="255"/>
      <c r="X64" s="245"/>
      <c r="Y64" s="228"/>
      <c r="Z64" s="229"/>
      <c r="AA64" s="23"/>
      <c r="AW64" s="228"/>
    </row>
    <row r="65" spans="1:49" ht="15" thickBot="1" x14ac:dyDescent="0.35">
      <c r="A65" s="381"/>
      <c r="R65" s="331"/>
      <c r="S65" s="228"/>
      <c r="AW65" s="228"/>
    </row>
    <row r="66" spans="1:49" ht="15" thickBot="1" x14ac:dyDescent="0.35">
      <c r="A66" s="313"/>
      <c r="B66" s="382" t="s">
        <v>709</v>
      </c>
      <c r="C66" s="383"/>
      <c r="D66" s="383"/>
      <c r="E66" s="384"/>
      <c r="F66" s="385"/>
      <c r="G66" s="385"/>
      <c r="H66" s="385"/>
      <c r="I66" s="385"/>
      <c r="J66" s="385"/>
      <c r="K66" s="385"/>
      <c r="L66" s="385"/>
      <c r="M66" s="385"/>
      <c r="N66" s="385"/>
      <c r="O66" s="385"/>
      <c r="P66" s="385"/>
      <c r="Q66" s="385"/>
      <c r="R66" s="331"/>
      <c r="S66" s="228"/>
      <c r="AW66" s="228"/>
    </row>
    <row r="67" spans="1:49" x14ac:dyDescent="0.3">
      <c r="B67" s="378"/>
      <c r="C67" s="487" t="s">
        <v>920</v>
      </c>
      <c r="D67" s="336" t="s">
        <v>710</v>
      </c>
      <c r="E67" s="336" t="s">
        <v>711</v>
      </c>
      <c r="F67" s="337" t="s">
        <v>712</v>
      </c>
      <c r="G67" s="370" t="s">
        <v>891</v>
      </c>
      <c r="H67" s="308" t="s">
        <v>892</v>
      </c>
      <c r="I67" s="308" t="s">
        <v>893</v>
      </c>
      <c r="J67" s="308" t="s">
        <v>890</v>
      </c>
      <c r="K67" s="308" t="s">
        <v>894</v>
      </c>
      <c r="L67" s="488" t="s">
        <v>895</v>
      </c>
      <c r="M67" s="489" t="s">
        <v>901</v>
      </c>
      <c r="AW67" s="228"/>
    </row>
    <row r="68" spans="1:49" x14ac:dyDescent="0.3">
      <c r="A68" s="314"/>
      <c r="B68" s="373" t="s">
        <v>3</v>
      </c>
      <c r="C68" s="313">
        <f>(SUMPRODUCT(C45:C61,'Transportsystemer, faktorer'!C39:C55)+C64*1000)/1000</f>
        <v>0</v>
      </c>
      <c r="D68" s="360">
        <v>100</v>
      </c>
      <c r="E68" s="360">
        <v>0</v>
      </c>
      <c r="F68" s="361">
        <v>0</v>
      </c>
      <c r="G68" s="483" t="s">
        <v>865</v>
      </c>
      <c r="H68" s="484" t="s">
        <v>648</v>
      </c>
      <c r="I68" s="484" t="s">
        <v>871</v>
      </c>
      <c r="J68" s="484" t="s">
        <v>868</v>
      </c>
      <c r="K68" s="484">
        <f>_xlfn.XLOOKUP(G68,'Utslippsfaktorer Transport'!$A$10:$A$19,'Utslippsfaktorer Transport'!$B$10:$B$19)*_xlfn.XLOOKUP(H68,'Utslippsfaktorer Transport'!$A$34:$A$52,'Utslippsfaktorer Transport'!$E$34:$E$52)</f>
        <v>64.47</v>
      </c>
      <c r="L68" s="485">
        <f>_xlfn.XLOOKUP(I68,'Utslippsfaktorer Transport'!$A$27:$A$29,'Utslippsfaktorer Transport'!$F$27:$F$29)</f>
        <v>17.5</v>
      </c>
      <c r="M68" s="486">
        <f>_xlfn.XLOOKUP(J68,'Utslippsfaktorer Transport'!$A$23:$A$25,'Utslippsfaktorer Transport'!$C$23:$C$25)</f>
        <v>0</v>
      </c>
      <c r="AW68" s="228"/>
    </row>
    <row r="69" spans="1:49" x14ac:dyDescent="0.3">
      <c r="A69" s="313"/>
      <c r="B69" s="373" t="s">
        <v>7</v>
      </c>
      <c r="C69" s="313">
        <f>(SUMPRODUCT(E45:E61,'Transportsystemer, faktorer'!E39:E55)+E64*1000)/1000</f>
        <v>0</v>
      </c>
      <c r="D69" s="360">
        <v>100</v>
      </c>
      <c r="E69" s="360"/>
      <c r="F69" s="361"/>
      <c r="G69" s="483" t="s">
        <v>865</v>
      </c>
      <c r="H69" s="360" t="s">
        <v>648</v>
      </c>
      <c r="I69" s="360" t="s">
        <v>871</v>
      </c>
      <c r="J69" s="360" t="s">
        <v>868</v>
      </c>
      <c r="K69" s="360">
        <v>64.47</v>
      </c>
      <c r="L69" s="428">
        <f>_xlfn.XLOOKUP(I69,'Utslippsfaktorer Transport'!$A$27:$A$29,'Utslippsfaktorer Transport'!$F$27:$F$29)</f>
        <v>17.5</v>
      </c>
      <c r="M69" s="340">
        <f>_xlfn.XLOOKUP(J69,'Utslippsfaktorer Transport'!$A$23:$A$25,'Utslippsfaktorer Transport'!$C$23:$C$25)</f>
        <v>0</v>
      </c>
      <c r="AW69" s="228"/>
    </row>
    <row r="70" spans="1:49" x14ac:dyDescent="0.3">
      <c r="A70" s="313"/>
      <c r="B70" s="387" t="s">
        <v>8</v>
      </c>
      <c r="C70" s="313">
        <f>(SUMPRODUCT(G45:G61,'Transportsystemer, faktorer'!G39:G55)+G64*1000)/1000</f>
        <v>0</v>
      </c>
      <c r="D70" s="360">
        <v>100</v>
      </c>
      <c r="E70" s="360"/>
      <c r="F70" s="361"/>
      <c r="G70" s="483" t="s">
        <v>865</v>
      </c>
      <c r="H70" s="360" t="s">
        <v>648</v>
      </c>
      <c r="I70" s="360" t="s">
        <v>871</v>
      </c>
      <c r="J70" s="360" t="s">
        <v>868</v>
      </c>
      <c r="K70" s="360">
        <v>64.47</v>
      </c>
      <c r="L70" s="428">
        <f>_xlfn.XLOOKUP(I70,'Utslippsfaktorer Transport'!$A$27:$A$29,'Utslippsfaktorer Transport'!$F$27:$F$29)</f>
        <v>17.5</v>
      </c>
      <c r="M70" s="340">
        <f>_xlfn.XLOOKUP(J70,'Utslippsfaktorer Transport'!$A$23:$A$25,'Utslippsfaktorer Transport'!$C$23:$C$25)</f>
        <v>0</v>
      </c>
      <c r="AW70" s="228"/>
    </row>
    <row r="71" spans="1:49" x14ac:dyDescent="0.3">
      <c r="B71" s="373" t="s">
        <v>5</v>
      </c>
      <c r="C71" s="313">
        <f>(SUMPRODUCT(I45:I61,'Transportsystemer, faktorer'!I39:I55)+I64*1000)/1000</f>
        <v>0</v>
      </c>
      <c r="D71" s="360">
        <v>100</v>
      </c>
      <c r="E71" s="360"/>
      <c r="F71" s="361"/>
      <c r="G71" s="483" t="s">
        <v>865</v>
      </c>
      <c r="H71" s="360" t="s">
        <v>648</v>
      </c>
      <c r="I71" s="360" t="s">
        <v>871</v>
      </c>
      <c r="J71" s="360" t="s">
        <v>868</v>
      </c>
      <c r="K71" s="360">
        <v>64.47</v>
      </c>
      <c r="L71" s="428">
        <f>_xlfn.XLOOKUP(I71,'Utslippsfaktorer Transport'!$A$27:$A$29,'Utslippsfaktorer Transport'!$F$27:$F$29)</f>
        <v>17.5</v>
      </c>
      <c r="M71" s="340">
        <f>_xlfn.XLOOKUP(J71,'Utslippsfaktorer Transport'!$A$23:$A$25,'Utslippsfaktorer Transport'!$C$23:$C$25)</f>
        <v>0</v>
      </c>
      <c r="AW71" s="228"/>
    </row>
    <row r="72" spans="1:49" x14ac:dyDescent="0.3">
      <c r="B72" s="373" t="s">
        <v>6</v>
      </c>
      <c r="C72" s="313">
        <f>(SUMPRODUCT(K45:K61,'Transportsystemer, faktorer'!K39:K55)+K64*1000)/1000</f>
        <v>0</v>
      </c>
      <c r="D72" s="360">
        <v>100</v>
      </c>
      <c r="E72" s="360"/>
      <c r="F72" s="361"/>
      <c r="G72" s="483" t="s">
        <v>865</v>
      </c>
      <c r="H72" s="360" t="s">
        <v>648</v>
      </c>
      <c r="I72" s="360" t="s">
        <v>871</v>
      </c>
      <c r="J72" s="360" t="s">
        <v>868</v>
      </c>
      <c r="K72" s="360">
        <v>64.47</v>
      </c>
      <c r="L72" s="428">
        <f>_xlfn.XLOOKUP(I72,'Utslippsfaktorer Transport'!$A$27:$A$29,'Utslippsfaktorer Transport'!$F$27:$F$29)</f>
        <v>17.5</v>
      </c>
      <c r="M72" s="340">
        <f>_xlfn.XLOOKUP(J72,'Utslippsfaktorer Transport'!$A$23:$A$25,'Utslippsfaktorer Transport'!$C$23:$C$25)</f>
        <v>0</v>
      </c>
      <c r="AW72" s="228"/>
    </row>
    <row r="73" spans="1:49" x14ac:dyDescent="0.3">
      <c r="B73" s="387" t="s">
        <v>9</v>
      </c>
      <c r="C73" s="313">
        <f>(SUMPRODUCT(M45:M61,'Transportsystemer, faktorer'!M39:M55)+M64*1000)/1000</f>
        <v>0</v>
      </c>
      <c r="D73" s="360">
        <v>100</v>
      </c>
      <c r="E73" s="360"/>
      <c r="F73" s="361"/>
      <c r="G73" s="483" t="s">
        <v>865</v>
      </c>
      <c r="H73" s="360" t="s">
        <v>648</v>
      </c>
      <c r="I73" s="360" t="s">
        <v>871</v>
      </c>
      <c r="J73" s="360" t="s">
        <v>868</v>
      </c>
      <c r="K73" s="360">
        <v>64.47</v>
      </c>
      <c r="L73" s="428">
        <f>_xlfn.XLOOKUP(I73,'Utslippsfaktorer Transport'!$A$27:$A$29,'Utslippsfaktorer Transport'!$F$27:$F$29)</f>
        <v>17.5</v>
      </c>
      <c r="M73" s="340">
        <f>_xlfn.XLOOKUP(J73,'Utslippsfaktorer Transport'!$A$23:$A$25,'Utslippsfaktorer Transport'!$C$23:$C$25)</f>
        <v>0</v>
      </c>
      <c r="AW73" s="228"/>
    </row>
    <row r="74" spans="1:49" x14ac:dyDescent="0.3">
      <c r="B74" s="387" t="s">
        <v>553</v>
      </c>
      <c r="C74" s="313">
        <f>(SUMPRODUCT(O45:O61,'Transportsystemer, faktorer'!O39:O55)+O64*1000)/1000</f>
        <v>0</v>
      </c>
      <c r="D74" s="360">
        <v>100</v>
      </c>
      <c r="E74" s="360"/>
      <c r="F74" s="361"/>
      <c r="G74" s="483" t="s">
        <v>865</v>
      </c>
      <c r="H74" s="360" t="s">
        <v>648</v>
      </c>
      <c r="I74" s="360" t="s">
        <v>871</v>
      </c>
      <c r="J74" s="360" t="s">
        <v>868</v>
      </c>
      <c r="K74" s="360">
        <v>64.47</v>
      </c>
      <c r="L74" s="428">
        <f>_xlfn.XLOOKUP(I74,'Utslippsfaktorer Transport'!$A$27:$A$29,'Utslippsfaktorer Transport'!$F$27:$F$29)</f>
        <v>17.5</v>
      </c>
      <c r="M74" s="340">
        <f>_xlfn.XLOOKUP(J74,'Utslippsfaktorer Transport'!$A$23:$A$25,'Utslippsfaktorer Transport'!$C$23:$C$25)</f>
        <v>0</v>
      </c>
      <c r="AW74" s="228"/>
    </row>
    <row r="75" spans="1:49" ht="15" thickBot="1" x14ac:dyDescent="0.35">
      <c r="B75" s="376" t="s">
        <v>14</v>
      </c>
      <c r="C75" s="318">
        <f>(SUMPRODUCT(Q45:Q61,'Transportsystemer, faktorer'!Q39:Q55)+Q64*1000)/1000</f>
        <v>0</v>
      </c>
      <c r="D75" s="329">
        <v>100</v>
      </c>
      <c r="E75" s="329"/>
      <c r="F75" s="369"/>
      <c r="G75" s="365" t="s">
        <v>865</v>
      </c>
      <c r="H75" s="329" t="s">
        <v>648</v>
      </c>
      <c r="I75" s="329" t="s">
        <v>871</v>
      </c>
      <c r="J75" s="329" t="s">
        <v>868</v>
      </c>
      <c r="K75" s="329">
        <v>64.47</v>
      </c>
      <c r="L75" s="426">
        <f>_xlfn.XLOOKUP(I75,'Utslippsfaktorer Transport'!$A$27:$A$29,'Utslippsfaktorer Transport'!$F$27:$F$29)</f>
        <v>17.5</v>
      </c>
      <c r="M75" s="352">
        <f>_xlfn.XLOOKUP(J75,'Utslippsfaktorer Transport'!$A$23:$A$25,'Utslippsfaktorer Transport'!$C$23:$C$25)</f>
        <v>0</v>
      </c>
      <c r="AW75" s="228"/>
    </row>
    <row r="76" spans="1:49" x14ac:dyDescent="0.3">
      <c r="AW76" s="228"/>
    </row>
    <row r="77" spans="1:49" x14ac:dyDescent="0.3">
      <c r="B77" s="388" t="s">
        <v>375</v>
      </c>
      <c r="E77" s="388" t="s">
        <v>381</v>
      </c>
      <c r="K77" s="389" t="s">
        <v>549</v>
      </c>
      <c r="AW77" s="228"/>
    </row>
    <row r="78" spans="1:49" x14ac:dyDescent="0.3">
      <c r="AC78" s="228"/>
      <c r="AD78" s="228"/>
      <c r="AL78" s="228"/>
      <c r="AM78" s="228"/>
      <c r="AN78" s="228"/>
      <c r="AO78" s="228"/>
      <c r="AP78" s="228"/>
      <c r="AQ78" s="228"/>
      <c r="AR78" s="228"/>
      <c r="AS78" s="228"/>
      <c r="AT78" s="228"/>
      <c r="AU78" s="228"/>
      <c r="AV78" s="228"/>
      <c r="AW78" s="228"/>
    </row>
    <row r="79" spans="1:49" x14ac:dyDescent="0.3">
      <c r="B79" s="388" t="s">
        <v>332</v>
      </c>
      <c r="AC79" s="228"/>
      <c r="AD79" s="229"/>
      <c r="AL79" s="1186"/>
      <c r="AM79" s="1186"/>
      <c r="AN79" s="1186"/>
      <c r="AO79" s="1186"/>
      <c r="AP79" s="1186"/>
      <c r="AQ79" s="1186"/>
      <c r="AR79" s="1186"/>
      <c r="AS79" s="1186"/>
      <c r="AT79" s="1186"/>
      <c r="AU79" s="1186"/>
      <c r="AV79" s="245"/>
      <c r="AW79" s="228"/>
    </row>
    <row r="80" spans="1:49" x14ac:dyDescent="0.3">
      <c r="AC80" s="228"/>
      <c r="AD80" s="228"/>
      <c r="AL80" s="1186"/>
      <c r="AM80" s="1186"/>
      <c r="AN80" s="1186"/>
      <c r="AO80" s="1186"/>
      <c r="AP80" s="1186"/>
      <c r="AQ80" s="1186"/>
      <c r="AR80" s="1186"/>
      <c r="AS80" s="1186"/>
      <c r="AT80" s="1186"/>
      <c r="AU80" s="1186"/>
      <c r="AV80" s="1186"/>
      <c r="AW80" s="228"/>
    </row>
    <row r="81" spans="29:49" x14ac:dyDescent="0.3">
      <c r="AC81" s="228"/>
      <c r="AD81" s="229"/>
      <c r="AL81" s="228"/>
      <c r="AM81" s="264"/>
      <c r="AN81" s="264"/>
      <c r="AO81" s="229"/>
      <c r="AP81" s="229"/>
      <c r="AQ81" s="228"/>
      <c r="AR81" s="264"/>
      <c r="AS81" s="264"/>
      <c r="AT81" s="229"/>
      <c r="AU81" s="229"/>
      <c r="AV81" s="229"/>
      <c r="AW81" s="228"/>
    </row>
    <row r="82" spans="29:49" x14ac:dyDescent="0.3">
      <c r="AL82" s="262"/>
      <c r="AM82" s="228"/>
      <c r="AN82" s="262"/>
      <c r="AO82" s="252"/>
      <c r="AP82" s="228"/>
      <c r="AQ82" s="262"/>
      <c r="AR82" s="228"/>
      <c r="AS82" s="262"/>
      <c r="AT82" s="228"/>
      <c r="AU82" s="228"/>
      <c r="AV82" s="228"/>
      <c r="AW82" s="228"/>
    </row>
    <row r="83" spans="29:49" x14ac:dyDescent="0.3">
      <c r="AL83" s="262"/>
      <c r="AM83" s="252"/>
      <c r="AN83" s="262"/>
      <c r="AO83" s="252"/>
      <c r="AP83" s="228"/>
      <c r="AQ83" s="262"/>
      <c r="AR83" s="228"/>
      <c r="AS83" s="262"/>
      <c r="AT83" s="228"/>
      <c r="AU83" s="228"/>
      <c r="AV83" s="228"/>
      <c r="AW83" s="228"/>
    </row>
    <row r="84" spans="29:49" x14ac:dyDescent="0.3">
      <c r="AL84" s="262"/>
      <c r="AM84" s="252"/>
      <c r="AN84" s="262"/>
      <c r="AO84" s="252"/>
      <c r="AP84" s="228"/>
      <c r="AQ84" s="262"/>
      <c r="AR84" s="228"/>
      <c r="AS84" s="262"/>
      <c r="AT84" s="228"/>
      <c r="AU84" s="228"/>
      <c r="AV84" s="228"/>
      <c r="AW84" s="228"/>
    </row>
    <row r="85" spans="29:49" x14ac:dyDescent="0.3">
      <c r="AL85" s="262"/>
      <c r="AM85" s="252"/>
      <c r="AN85" s="228"/>
      <c r="AO85" s="252"/>
      <c r="AP85" s="228"/>
      <c r="AQ85" s="262"/>
      <c r="AR85" s="252"/>
      <c r="AS85" s="228"/>
      <c r="AT85" s="252"/>
      <c r="AU85" s="228"/>
      <c r="AV85" s="228"/>
      <c r="AW85" s="228"/>
    </row>
  </sheetData>
  <mergeCells count="23">
    <mergeCell ref="B7:I7"/>
    <mergeCell ref="B42:E42"/>
    <mergeCell ref="S44:T44"/>
    <mergeCell ref="A62:Q62"/>
    <mergeCell ref="AL79:AU79"/>
    <mergeCell ref="B27:E27"/>
    <mergeCell ref="S27:V27"/>
    <mergeCell ref="AL80:AP80"/>
    <mergeCell ref="AQ80:AV80"/>
    <mergeCell ref="I30:K40"/>
    <mergeCell ref="S1:AA1"/>
    <mergeCell ref="B2:K6"/>
    <mergeCell ref="S14:V14"/>
    <mergeCell ref="S15:V15"/>
    <mergeCell ref="B19:E19"/>
    <mergeCell ref="I19:K27"/>
    <mergeCell ref="S19:V19"/>
    <mergeCell ref="B20:E20"/>
    <mergeCell ref="S20:V20"/>
    <mergeCell ref="B22:E22"/>
    <mergeCell ref="S22:V22"/>
    <mergeCell ref="B25:E25"/>
    <mergeCell ref="S25:V25"/>
  </mergeCells>
  <hyperlinks>
    <hyperlink ref="B77" location="Innledning!A1" display="Tilbake til forside" xr:uid="{F37BCA17-A359-4291-A467-9AE341C18F0E}"/>
    <hyperlink ref="E77" location="Sammendrag!A1" display="Sammendrag" xr:uid="{E8007FB7-0EE9-4DA5-BA02-2F50D760C460}"/>
    <hyperlink ref="K77" location="'Transportsystem Avløp - Input'!A1" display="Transportsystem Avløp" xr:uid="{9C4C6BA6-DADD-4E95-9D47-EFCB66F09B39}"/>
    <hyperlink ref="B79" location="'Transportsystemer, faktorer'!A1" display="Utslippsfaktorer" xr:uid="{CF711591-E795-4B77-8349-FDB0438FB65C}"/>
  </hyperlinks>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4">
        <x14:dataValidation type="list" allowBlank="1" showInputMessage="1" showErrorMessage="1" xr:uid="{62328552-7D1C-474B-865B-47B8765A3D84}">
          <x14:formula1>
            <xm:f>'Utslippsfaktorer Transport'!$A$9:$A$19</xm:f>
          </x14:formula1>
          <xm:sqref>G68:G75</xm:sqref>
        </x14:dataValidation>
        <x14:dataValidation type="list" allowBlank="1" showInputMessage="1" showErrorMessage="1" xr:uid="{5A48B814-1651-4D25-A392-2AD4FC4DF093}">
          <x14:formula1>
            <xm:f>'Utslippsfaktorer Transport'!$A$27:$A$29</xm:f>
          </x14:formula1>
          <xm:sqref>I68:I75</xm:sqref>
        </x14:dataValidation>
        <x14:dataValidation type="list" allowBlank="1" showInputMessage="1" showErrorMessage="1" xr:uid="{2733BAD2-4106-47B5-AD88-82F28BF0BBFA}">
          <x14:formula1>
            <xm:f>'Utslippsfaktorer Transport'!$A$23:$A$25</xm:f>
          </x14:formula1>
          <xm:sqref>J68:J75</xm:sqref>
        </x14:dataValidation>
        <x14:dataValidation type="list" allowBlank="1" showInputMessage="1" showErrorMessage="1" xr:uid="{66849CAC-011E-4B54-B42D-A0EEAC8DAB9C}">
          <x14:formula1>
            <xm:f>'Utslippsfaktorer Transport'!$A$33:$A$52</xm:f>
          </x14:formula1>
          <xm:sqref>H68:H75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tint="-9.9978637043366805E-2"/>
  </sheetPr>
  <dimension ref="A1:L59"/>
  <sheetViews>
    <sheetView workbookViewId="0"/>
  </sheetViews>
  <sheetFormatPr baseColWidth="10" defaultColWidth="11.5546875" defaultRowHeight="14.4" x14ac:dyDescent="0.3"/>
  <cols>
    <col min="1" max="1" width="11.5546875" style="16"/>
    <col min="2" max="2" width="38" style="16" bestFit="1" customWidth="1"/>
    <col min="3" max="4" width="11.5546875" style="16"/>
    <col min="5" max="5" width="13.5546875" style="16" bestFit="1" customWidth="1"/>
    <col min="6" max="6" width="13.6640625" style="16" bestFit="1" customWidth="1"/>
    <col min="7" max="9" width="11.5546875" style="16"/>
    <col min="10" max="10" width="14.44140625" style="16" bestFit="1" customWidth="1"/>
    <col min="11" max="16384" width="11.5546875" style="16"/>
  </cols>
  <sheetData>
    <row r="1" spans="2:9" ht="24" thickBot="1" x14ac:dyDescent="0.5">
      <c r="B1" s="93" t="s">
        <v>641</v>
      </c>
    </row>
    <row r="2" spans="2:9" ht="14.4" customHeight="1" x14ac:dyDescent="0.3">
      <c r="B2" s="1080" t="s">
        <v>640</v>
      </c>
      <c r="C2" s="1230"/>
      <c r="D2" s="1230"/>
      <c r="E2" s="1230"/>
      <c r="F2" s="1230"/>
      <c r="G2" s="1230"/>
      <c r="H2" s="1081"/>
      <c r="I2" s="119"/>
    </row>
    <row r="3" spans="2:9" x14ac:dyDescent="0.3">
      <c r="B3" s="1082"/>
      <c r="C3" s="1231"/>
      <c r="D3" s="1231"/>
      <c r="E3" s="1231"/>
      <c r="F3" s="1231"/>
      <c r="G3" s="1231"/>
      <c r="H3" s="1083"/>
      <c r="I3" s="119"/>
    </row>
    <row r="4" spans="2:9" x14ac:dyDescent="0.3">
      <c r="B4" s="1082"/>
      <c r="C4" s="1231"/>
      <c r="D4" s="1231"/>
      <c r="E4" s="1231"/>
      <c r="F4" s="1231"/>
      <c r="G4" s="1231"/>
      <c r="H4" s="1083"/>
      <c r="I4" s="119"/>
    </row>
    <row r="5" spans="2:9" x14ac:dyDescent="0.3">
      <c r="B5" s="1082"/>
      <c r="C5" s="1231"/>
      <c r="D5" s="1231"/>
      <c r="E5" s="1231"/>
      <c r="F5" s="1231"/>
      <c r="G5" s="1231"/>
      <c r="H5" s="1083"/>
    </row>
    <row r="6" spans="2:9" ht="33.75" customHeight="1" thickBot="1" x14ac:dyDescent="0.35">
      <c r="B6" s="1084"/>
      <c r="C6" s="1232"/>
      <c r="D6" s="1232"/>
      <c r="E6" s="1232"/>
      <c r="F6" s="1232"/>
      <c r="G6" s="1232"/>
      <c r="H6" s="1085"/>
    </row>
    <row r="7" spans="2:9" ht="15" thickBot="1" x14ac:dyDescent="0.35"/>
    <row r="8" spans="2:9" x14ac:dyDescent="0.3">
      <c r="B8" s="179" t="s">
        <v>547</v>
      </c>
      <c r="C8" s="78" t="s">
        <v>406</v>
      </c>
      <c r="D8" s="31" t="s">
        <v>407</v>
      </c>
      <c r="E8" s="31" t="s">
        <v>408</v>
      </c>
      <c r="F8" s="25" t="s">
        <v>409</v>
      </c>
    </row>
    <row r="9" spans="2:9" x14ac:dyDescent="0.3">
      <c r="B9" s="15" t="s">
        <v>447</v>
      </c>
      <c r="C9" s="115" t="s">
        <v>423</v>
      </c>
      <c r="D9" s="16" t="s">
        <v>424</v>
      </c>
      <c r="E9" s="16" t="s">
        <v>425</v>
      </c>
      <c r="F9" s="18"/>
    </row>
    <row r="10" spans="2:9" x14ac:dyDescent="0.3">
      <c r="B10" s="15" t="s">
        <v>448</v>
      </c>
      <c r="C10" s="115"/>
      <c r="E10" s="16" t="s">
        <v>425</v>
      </c>
      <c r="F10" s="18" t="s">
        <v>427</v>
      </c>
    </row>
    <row r="11" spans="2:9" x14ac:dyDescent="0.3">
      <c r="B11" s="15" t="s">
        <v>545</v>
      </c>
      <c r="C11" s="115" t="s">
        <v>430</v>
      </c>
      <c r="D11" s="16" t="s">
        <v>429</v>
      </c>
      <c r="E11" s="16" t="s">
        <v>426</v>
      </c>
      <c r="F11" s="18"/>
    </row>
    <row r="12" spans="2:9" ht="15" thickBot="1" x14ac:dyDescent="0.35">
      <c r="B12" s="27" t="s">
        <v>546</v>
      </c>
      <c r="C12" s="57"/>
      <c r="D12" s="40"/>
      <c r="E12" s="40" t="s">
        <v>426</v>
      </c>
      <c r="F12" s="36" t="s">
        <v>428</v>
      </c>
    </row>
    <row r="13" spans="2:9" ht="15" thickBot="1" x14ac:dyDescent="0.35"/>
    <row r="14" spans="2:9" x14ac:dyDescent="0.3">
      <c r="B14" s="51" t="s">
        <v>611</v>
      </c>
      <c r="C14" s="45" t="s">
        <v>615</v>
      </c>
      <c r="D14" s="50"/>
      <c r="E14" s="230" t="s">
        <v>614</v>
      </c>
      <c r="F14" s="46" t="s">
        <v>616</v>
      </c>
    </row>
    <row r="15" spans="2:9" x14ac:dyDescent="0.3">
      <c r="B15" s="231" t="s">
        <v>472</v>
      </c>
      <c r="C15" s="228"/>
      <c r="D15" s="228">
        <f>SUM(A24:A25,A29:A30,A34:A35,A39:A40)</f>
        <v>0</v>
      </c>
      <c r="E15" s="234">
        <v>0</v>
      </c>
      <c r="F15" s="18">
        <f>IF(E15=0,D15,E15)</f>
        <v>0</v>
      </c>
    </row>
    <row r="16" spans="2:9" ht="15" thickBot="1" x14ac:dyDescent="0.35">
      <c r="B16" s="232" t="s">
        <v>633</v>
      </c>
      <c r="C16" s="40"/>
      <c r="D16" s="40">
        <f>SUM(A53)</f>
        <v>0</v>
      </c>
      <c r="E16" s="28">
        <v>0</v>
      </c>
      <c r="F16" s="36">
        <f>IF(E16=0,D16,E16)</f>
        <v>0</v>
      </c>
    </row>
    <row r="17" spans="1:4" ht="15" thickBot="1" x14ac:dyDescent="0.35"/>
    <row r="18" spans="1:4" ht="18" x14ac:dyDescent="0.35">
      <c r="A18" s="68" t="s">
        <v>322</v>
      </c>
      <c r="B18" s="217" t="s">
        <v>278</v>
      </c>
      <c r="C18" s="218" t="s">
        <v>514</v>
      </c>
      <c r="D18" s="219"/>
    </row>
    <row r="19" spans="1:4" ht="15" thickBot="1" x14ac:dyDescent="0.35">
      <c r="A19" s="241">
        <v>0</v>
      </c>
      <c r="B19" s="220" t="s">
        <v>610</v>
      </c>
      <c r="C19" s="77">
        <v>0</v>
      </c>
      <c r="D19" s="221" t="s">
        <v>279</v>
      </c>
    </row>
    <row r="21" spans="1:4" ht="15" thickBot="1" x14ac:dyDescent="0.35">
      <c r="A21" s="14" t="s">
        <v>638</v>
      </c>
      <c r="B21" s="14" t="s">
        <v>550</v>
      </c>
    </row>
    <row r="22" spans="1:4" x14ac:dyDescent="0.3">
      <c r="A22" s="69"/>
      <c r="B22" s="66"/>
      <c r="C22" s="1233" t="s">
        <v>422</v>
      </c>
      <c r="D22" s="1234"/>
    </row>
    <row r="23" spans="1:4" x14ac:dyDescent="0.3">
      <c r="A23" s="233" t="s">
        <v>322</v>
      </c>
      <c r="B23" s="35"/>
      <c r="C23" s="111" t="s">
        <v>416</v>
      </c>
      <c r="D23" s="32" t="s">
        <v>417</v>
      </c>
    </row>
    <row r="24" spans="1:4" x14ac:dyDescent="0.3">
      <c r="A24" s="21">
        <v>0</v>
      </c>
      <c r="B24" s="15" t="s">
        <v>414</v>
      </c>
      <c r="C24" s="79">
        <v>0</v>
      </c>
      <c r="D24" s="26">
        <v>0</v>
      </c>
    </row>
    <row r="25" spans="1:4" ht="15" thickBot="1" x14ac:dyDescent="0.35">
      <c r="A25" s="28">
        <v>0</v>
      </c>
      <c r="B25" s="27" t="s">
        <v>421</v>
      </c>
      <c r="C25" s="77">
        <v>0</v>
      </c>
      <c r="D25" s="29">
        <v>0</v>
      </c>
    </row>
    <row r="26" spans="1:4" ht="15" thickBot="1" x14ac:dyDescent="0.35"/>
    <row r="27" spans="1:4" x14ac:dyDescent="0.3">
      <c r="A27" s="69"/>
      <c r="B27" s="17" t="s">
        <v>394</v>
      </c>
      <c r="C27" s="1233" t="s">
        <v>422</v>
      </c>
      <c r="D27" s="1234"/>
    </row>
    <row r="28" spans="1:4" x14ac:dyDescent="0.3">
      <c r="A28" s="233" t="s">
        <v>322</v>
      </c>
      <c r="B28" s="110" t="s">
        <v>413</v>
      </c>
      <c r="C28" s="111" t="s">
        <v>416</v>
      </c>
      <c r="D28" s="32" t="s">
        <v>417</v>
      </c>
    </row>
    <row r="29" spans="1:4" x14ac:dyDescent="0.3">
      <c r="A29" s="21">
        <v>0</v>
      </c>
      <c r="B29" s="15" t="s">
        <v>414</v>
      </c>
      <c r="C29" s="79">
        <v>0</v>
      </c>
      <c r="D29" s="26">
        <v>0</v>
      </c>
    </row>
    <row r="30" spans="1:4" ht="15" thickBot="1" x14ac:dyDescent="0.35">
      <c r="A30" s="28">
        <v>0</v>
      </c>
      <c r="B30" s="27" t="s">
        <v>421</v>
      </c>
      <c r="C30" s="77">
        <v>0</v>
      </c>
      <c r="D30" s="29">
        <v>0</v>
      </c>
    </row>
    <row r="31" spans="1:4" ht="15" thickBot="1" x14ac:dyDescent="0.35"/>
    <row r="32" spans="1:4" x14ac:dyDescent="0.3">
      <c r="A32" s="69"/>
      <c r="B32" s="66"/>
      <c r="C32" s="1233" t="s">
        <v>422</v>
      </c>
      <c r="D32" s="1234"/>
    </row>
    <row r="33" spans="1:12" x14ac:dyDescent="0.3">
      <c r="A33" s="233" t="s">
        <v>322</v>
      </c>
      <c r="B33" s="110" t="s">
        <v>13</v>
      </c>
      <c r="C33" s="111" t="s">
        <v>418</v>
      </c>
      <c r="D33" s="32" t="s">
        <v>417</v>
      </c>
    </row>
    <row r="34" spans="1:12" x14ac:dyDescent="0.3">
      <c r="A34" s="21">
        <v>0</v>
      </c>
      <c r="B34" s="15" t="s">
        <v>414</v>
      </c>
      <c r="C34" s="79">
        <v>0</v>
      </c>
      <c r="D34" s="26">
        <v>0</v>
      </c>
    </row>
    <row r="35" spans="1:12" ht="15" thickBot="1" x14ac:dyDescent="0.35">
      <c r="A35" s="28">
        <v>0</v>
      </c>
      <c r="B35" s="27" t="s">
        <v>421</v>
      </c>
      <c r="C35" s="77">
        <v>0</v>
      </c>
      <c r="D35" s="29">
        <v>0</v>
      </c>
    </row>
    <row r="36" spans="1:12" ht="15" thickBot="1" x14ac:dyDescent="0.35"/>
    <row r="37" spans="1:12" x14ac:dyDescent="0.3">
      <c r="A37" s="69"/>
      <c r="B37" s="66"/>
      <c r="C37" s="1233" t="s">
        <v>422</v>
      </c>
      <c r="D37" s="1234"/>
    </row>
    <row r="38" spans="1:12" x14ac:dyDescent="0.3">
      <c r="A38" s="233" t="s">
        <v>322</v>
      </c>
      <c r="B38" s="110" t="s">
        <v>14</v>
      </c>
      <c r="C38" s="111" t="s">
        <v>416</v>
      </c>
      <c r="D38" s="32" t="s">
        <v>417</v>
      </c>
    </row>
    <row r="39" spans="1:12" x14ac:dyDescent="0.3">
      <c r="A39" s="21">
        <v>0</v>
      </c>
      <c r="B39" s="15" t="s">
        <v>414</v>
      </c>
      <c r="C39" s="79">
        <v>0</v>
      </c>
      <c r="D39" s="26">
        <v>0</v>
      </c>
    </row>
    <row r="40" spans="1:12" ht="15" thickBot="1" x14ac:dyDescent="0.35">
      <c r="A40" s="28">
        <v>0</v>
      </c>
      <c r="B40" s="27" t="s">
        <v>421</v>
      </c>
      <c r="C40" s="77">
        <v>0</v>
      </c>
      <c r="D40" s="29">
        <v>0</v>
      </c>
    </row>
    <row r="41" spans="1:12" ht="15" thickBot="1" x14ac:dyDescent="0.35"/>
    <row r="42" spans="1:12" x14ac:dyDescent="0.3">
      <c r="B42" s="17" t="s">
        <v>516</v>
      </c>
      <c r="C42" s="78" t="s">
        <v>280</v>
      </c>
      <c r="D42" s="44">
        <v>100</v>
      </c>
      <c r="E42" s="31">
        <v>150</v>
      </c>
      <c r="F42" s="31">
        <v>200</v>
      </c>
      <c r="G42" s="31">
        <v>250</v>
      </c>
      <c r="H42" s="31">
        <v>300</v>
      </c>
      <c r="I42" s="31">
        <v>400</v>
      </c>
      <c r="J42" s="25">
        <v>600</v>
      </c>
      <c r="K42" s="66" t="s">
        <v>363</v>
      </c>
      <c r="L42" s="20"/>
    </row>
    <row r="43" spans="1:12" x14ac:dyDescent="0.3">
      <c r="B43" s="15" t="s">
        <v>3</v>
      </c>
      <c r="C43" s="111" t="s">
        <v>25</v>
      </c>
      <c r="D43" s="101">
        <v>0</v>
      </c>
      <c r="E43" s="102">
        <v>0</v>
      </c>
      <c r="F43" s="102">
        <v>0</v>
      </c>
      <c r="G43" s="102">
        <v>0</v>
      </c>
      <c r="H43" s="102">
        <v>0</v>
      </c>
      <c r="I43" s="102">
        <v>0</v>
      </c>
      <c r="J43" s="33">
        <v>0</v>
      </c>
      <c r="K43" s="103">
        <v>100</v>
      </c>
      <c r="L43" s="34" t="s">
        <v>25</v>
      </c>
    </row>
    <row r="44" spans="1:12" x14ac:dyDescent="0.3">
      <c r="B44" s="15" t="s">
        <v>7</v>
      </c>
      <c r="C44" s="111" t="s">
        <v>25</v>
      </c>
      <c r="D44" s="103">
        <v>0</v>
      </c>
      <c r="E44" s="104">
        <v>0</v>
      </c>
      <c r="F44" s="104">
        <v>0</v>
      </c>
      <c r="G44" s="104">
        <v>0</v>
      </c>
      <c r="H44" s="104">
        <v>0</v>
      </c>
      <c r="I44" s="104">
        <v>0</v>
      </c>
      <c r="J44" s="210">
        <v>0</v>
      </c>
      <c r="K44" s="101">
        <v>100</v>
      </c>
      <c r="L44" s="34" t="s">
        <v>25</v>
      </c>
    </row>
    <row r="45" spans="1:12" x14ac:dyDescent="0.3">
      <c r="B45" s="15" t="s">
        <v>8</v>
      </c>
      <c r="C45" s="111" t="s">
        <v>25</v>
      </c>
      <c r="D45" s="101">
        <v>0</v>
      </c>
      <c r="E45" s="102">
        <v>0</v>
      </c>
      <c r="F45" s="102">
        <v>0</v>
      </c>
      <c r="G45" s="102">
        <v>0</v>
      </c>
      <c r="H45" s="102">
        <v>0</v>
      </c>
      <c r="I45" s="102">
        <v>0</v>
      </c>
      <c r="J45" s="33">
        <v>0</v>
      </c>
      <c r="K45" s="103">
        <v>100</v>
      </c>
      <c r="L45" s="34" t="s">
        <v>25</v>
      </c>
    </row>
    <row r="46" spans="1:12" x14ac:dyDescent="0.3">
      <c r="B46" s="15" t="s">
        <v>5</v>
      </c>
      <c r="C46" s="111" t="s">
        <v>25</v>
      </c>
      <c r="D46" s="101">
        <v>0</v>
      </c>
      <c r="E46" s="102">
        <v>0</v>
      </c>
      <c r="F46" s="102">
        <v>0</v>
      </c>
      <c r="G46" s="102">
        <v>0</v>
      </c>
      <c r="H46" s="102">
        <v>0</v>
      </c>
      <c r="I46" s="102">
        <v>0</v>
      </c>
      <c r="J46" s="33">
        <v>0</v>
      </c>
      <c r="K46" s="103">
        <v>100</v>
      </c>
      <c r="L46" s="34" t="s">
        <v>25</v>
      </c>
    </row>
    <row r="47" spans="1:12" x14ac:dyDescent="0.3">
      <c r="B47" s="15" t="s">
        <v>6</v>
      </c>
      <c r="C47" s="111" t="s">
        <v>25</v>
      </c>
      <c r="D47" s="101">
        <v>0</v>
      </c>
      <c r="E47" s="102">
        <v>0</v>
      </c>
      <c r="F47" s="102">
        <v>0</v>
      </c>
      <c r="G47" s="102">
        <v>0</v>
      </c>
      <c r="H47" s="102">
        <v>0</v>
      </c>
      <c r="I47" s="102">
        <v>0</v>
      </c>
      <c r="J47" s="33">
        <v>0</v>
      </c>
      <c r="K47" s="103">
        <v>100</v>
      </c>
      <c r="L47" s="34" t="s">
        <v>25</v>
      </c>
    </row>
    <row r="48" spans="1:12" x14ac:dyDescent="0.3">
      <c r="B48" s="15" t="s">
        <v>9</v>
      </c>
      <c r="C48" s="115" t="s">
        <v>25</v>
      </c>
      <c r="D48" s="103">
        <v>0</v>
      </c>
      <c r="E48" s="104">
        <v>0</v>
      </c>
      <c r="F48" s="104">
        <v>0</v>
      </c>
      <c r="G48" s="104">
        <v>0</v>
      </c>
      <c r="H48" s="104">
        <v>0</v>
      </c>
      <c r="I48" s="104">
        <v>0</v>
      </c>
      <c r="J48" s="210">
        <v>0</v>
      </c>
      <c r="K48" s="103">
        <v>100</v>
      </c>
      <c r="L48" s="34" t="s">
        <v>25</v>
      </c>
    </row>
    <row r="49" spans="1:12" ht="15" thickBot="1" x14ac:dyDescent="0.35">
      <c r="B49" s="27" t="s">
        <v>553</v>
      </c>
      <c r="C49" s="180" t="s">
        <v>25</v>
      </c>
      <c r="D49" s="100">
        <v>0</v>
      </c>
      <c r="E49" s="97">
        <v>0</v>
      </c>
      <c r="F49" s="97">
        <v>0</v>
      </c>
      <c r="G49" s="97">
        <v>0</v>
      </c>
      <c r="H49" s="97">
        <v>0</v>
      </c>
      <c r="I49" s="97">
        <v>0</v>
      </c>
      <c r="J49" s="29">
        <v>0</v>
      </c>
      <c r="K49" s="100">
        <v>100</v>
      </c>
      <c r="L49" s="36" t="s">
        <v>25</v>
      </c>
    </row>
    <row r="50" spans="1:12" ht="15" thickBot="1" x14ac:dyDescent="0.35"/>
    <row r="51" spans="1:12" x14ac:dyDescent="0.3">
      <c r="A51" s="68" t="s">
        <v>322</v>
      </c>
      <c r="B51" s="51" t="s">
        <v>328</v>
      </c>
      <c r="C51" s="78" t="s">
        <v>515</v>
      </c>
      <c r="D51" s="67" t="s">
        <v>444</v>
      </c>
    </row>
    <row r="52" spans="1:12" x14ac:dyDescent="0.3">
      <c r="B52" s="15" t="s">
        <v>554</v>
      </c>
      <c r="C52" s="79"/>
      <c r="D52" s="177" t="s">
        <v>347</v>
      </c>
    </row>
    <row r="53" spans="1:12" ht="15" thickBot="1" x14ac:dyDescent="0.35">
      <c r="A53" s="28">
        <v>0</v>
      </c>
      <c r="B53" s="27" t="s">
        <v>352</v>
      </c>
      <c r="C53" s="77">
        <v>0</v>
      </c>
      <c r="D53" s="58" t="s">
        <v>364</v>
      </c>
    </row>
    <row r="54" spans="1:12" x14ac:dyDescent="0.3">
      <c r="B54" s="14"/>
    </row>
    <row r="57" spans="1:12" x14ac:dyDescent="0.3">
      <c r="B57" s="98" t="s">
        <v>375</v>
      </c>
      <c r="E57" s="98" t="s">
        <v>381</v>
      </c>
      <c r="K57" s="98" t="s">
        <v>370</v>
      </c>
    </row>
    <row r="59" spans="1:12" x14ac:dyDescent="0.3">
      <c r="B59" s="98" t="s">
        <v>332</v>
      </c>
    </row>
  </sheetData>
  <mergeCells count="5">
    <mergeCell ref="B2:H6"/>
    <mergeCell ref="C22:D22"/>
    <mergeCell ref="C27:D27"/>
    <mergeCell ref="C32:D32"/>
    <mergeCell ref="C37:D37"/>
  </mergeCells>
  <hyperlinks>
    <hyperlink ref="B57" location="Innledning!A1" display="Tilbake til forside" xr:uid="{00000000-0004-0000-0500-000000000000}"/>
    <hyperlink ref="B59" location="'Ledningsnett - faktorer'!A1" display="Utslippsfaktorer" xr:uid="{00000000-0004-0000-0500-000001000000}"/>
    <hyperlink ref="E57" location="Sammendrag!A1" display="Sammendrag" xr:uid="{00000000-0004-0000-0500-000002000000}"/>
    <hyperlink ref="K57" location="'Transportsystemer - Resultater'!A1" display="Resultater" xr:uid="{00000000-0004-0000-0500-000003000000}"/>
  </hyperlinks>
  <pageMargins left="0.7" right="0.7" top="0.75" bottom="0.75" header="0.3" footer="0.3"/>
  <pageSetup paperSize="9" orientation="portrait" horizontalDpi="4294967293"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S68"/>
  <sheetViews>
    <sheetView workbookViewId="0"/>
  </sheetViews>
  <sheetFormatPr baseColWidth="10" defaultColWidth="11.5546875" defaultRowHeight="14.4" x14ac:dyDescent="0.3"/>
  <cols>
    <col min="1" max="1" width="37.33203125" style="16" bestFit="1" customWidth="1"/>
    <col min="2" max="2" width="14.109375" style="16" customWidth="1"/>
    <col min="3" max="3" width="12.5546875" style="16" customWidth="1"/>
    <col min="4" max="4" width="18.109375" style="16" customWidth="1"/>
    <col min="5" max="5" width="14" style="16" bestFit="1" customWidth="1"/>
    <col min="6" max="6" width="12.5546875" style="16" bestFit="1" customWidth="1"/>
    <col min="7" max="7" width="14" style="16" bestFit="1" customWidth="1"/>
    <col min="8" max="8" width="12.5546875" style="16" bestFit="1" customWidth="1"/>
    <col min="9" max="9" width="14.44140625" style="16" customWidth="1"/>
    <col min="10" max="10" width="12.5546875" style="16" bestFit="1" customWidth="1"/>
    <col min="11" max="11" width="14.109375" style="16" customWidth="1"/>
    <col min="12" max="14" width="11.5546875" style="16"/>
    <col min="15" max="15" width="12.33203125" style="16" bestFit="1" customWidth="1"/>
    <col min="16" max="16384" width="11.5546875" style="16"/>
  </cols>
  <sheetData>
    <row r="1" spans="1:13" s="239" customFormat="1" ht="61.95" customHeight="1" thickBot="1" x14ac:dyDescent="0.35">
      <c r="A1" s="237" t="s">
        <v>642</v>
      </c>
      <c r="B1" s="238"/>
    </row>
    <row r="2" spans="1:13" x14ac:dyDescent="0.3">
      <c r="A2" s="44" t="s">
        <v>254</v>
      </c>
      <c r="B2" s="67" t="s">
        <v>362</v>
      </c>
      <c r="C2" s="44" t="s">
        <v>508</v>
      </c>
      <c r="D2" s="25" t="s">
        <v>510</v>
      </c>
    </row>
    <row r="3" spans="1:13" x14ac:dyDescent="0.3">
      <c r="A3" s="15" t="s">
        <v>395</v>
      </c>
      <c r="B3" s="82" t="e">
        <f>SUM(C3:D3)</f>
        <v>#REF!</v>
      </c>
      <c r="C3" s="133" t="e">
        <f>G19</f>
        <v>#REF!</v>
      </c>
      <c r="D3" s="134">
        <f>L19</f>
        <v>0</v>
      </c>
    </row>
    <row r="4" spans="1:13" x14ac:dyDescent="0.3">
      <c r="A4" s="15" t="s">
        <v>396</v>
      </c>
      <c r="B4" s="82" t="e">
        <f>SUM(C4:D4)</f>
        <v>#REF!</v>
      </c>
      <c r="C4" s="133" t="e">
        <f>G26</f>
        <v>#REF!</v>
      </c>
      <c r="D4" s="134">
        <f>L26</f>
        <v>0</v>
      </c>
    </row>
    <row r="5" spans="1:13" x14ac:dyDescent="0.3">
      <c r="A5" s="15" t="s">
        <v>13</v>
      </c>
      <c r="B5" s="82" t="e">
        <f t="shared" ref="B5:B7" si="0">SUM(C5:D5)</f>
        <v>#REF!</v>
      </c>
      <c r="C5" s="133" t="e">
        <f>G31</f>
        <v>#REF!</v>
      </c>
      <c r="D5" s="134">
        <f>L31</f>
        <v>0</v>
      </c>
    </row>
    <row r="6" spans="1:13" x14ac:dyDescent="0.3">
      <c r="A6" s="15" t="s">
        <v>14</v>
      </c>
      <c r="B6" s="82" t="e">
        <f t="shared" si="0"/>
        <v>#REF!</v>
      </c>
      <c r="C6" s="133" t="e">
        <f>G36</f>
        <v>#REF!</v>
      </c>
      <c r="D6" s="134">
        <f>L36</f>
        <v>0</v>
      </c>
    </row>
    <row r="7" spans="1:13" x14ac:dyDescent="0.3">
      <c r="A7" s="15" t="s">
        <v>403</v>
      </c>
      <c r="B7" s="82" t="e">
        <f t="shared" si="0"/>
        <v>#VALUE!</v>
      </c>
      <c r="C7" s="133" t="e">
        <f>Q47</f>
        <v>#VALUE!</v>
      </c>
      <c r="D7" s="134">
        <f>R47</f>
        <v>0</v>
      </c>
    </row>
    <row r="8" spans="1:13" x14ac:dyDescent="0.3">
      <c r="A8" s="15" t="s">
        <v>35</v>
      </c>
      <c r="B8" s="82">
        <f>C8+D8</f>
        <v>0</v>
      </c>
      <c r="C8" s="133">
        <f>'Transportsystemer - Ressursfane'!D63*'Ledningsnett - faktorer'!D43</f>
        <v>0</v>
      </c>
      <c r="D8" s="134">
        <f>'Transportsystem Avløp - Input g'!C52*'Ledningsnett - faktorer'!D43</f>
        <v>0</v>
      </c>
    </row>
    <row r="9" spans="1:13" x14ac:dyDescent="0.3">
      <c r="A9" s="15" t="s">
        <v>26</v>
      </c>
      <c r="B9" s="82" t="e">
        <f>C9+D9</f>
        <v>#VALUE!</v>
      </c>
      <c r="C9" s="133" t="e">
        <f>H55+B65</f>
        <v>#VALUE!</v>
      </c>
      <c r="D9" s="134">
        <f>C65+M55</f>
        <v>0</v>
      </c>
    </row>
    <row r="10" spans="1:13" x14ac:dyDescent="0.3">
      <c r="A10" s="35" t="str">
        <f>'Vann og Avløp-utslippsfaktorer'!A3</f>
        <v>Elektrisitet, Norsk forbruksmiks</v>
      </c>
      <c r="B10" s="174" t="e">
        <f>C10+D10</f>
        <v>#REF!</v>
      </c>
      <c r="C10" s="175" t="e">
        <f>'Vann og Avløp-utslippsfaktorer'!D3*'Transportsystemer - Ressursfane'!#REF!</f>
        <v>#REF!</v>
      </c>
      <c r="D10" s="176">
        <f>'Vann og Avløp-utslippsfaktorer'!D3*'Transportsystem Avløp - Input g'!C19</f>
        <v>0</v>
      </c>
    </row>
    <row r="11" spans="1:13" ht="15" thickBot="1" x14ac:dyDescent="0.35">
      <c r="A11" s="27" t="s">
        <v>331</v>
      </c>
      <c r="B11" s="83" t="e">
        <f>SUM(B3:B10)</f>
        <v>#REF!</v>
      </c>
      <c r="C11" s="135" t="e">
        <f>SUM(C3:C10)</f>
        <v>#REF!</v>
      </c>
      <c r="D11" s="136">
        <f>SUM(D3:D10)</f>
        <v>0</v>
      </c>
    </row>
    <row r="12" spans="1:13" ht="15" thickBot="1" x14ac:dyDescent="0.35"/>
    <row r="13" spans="1:13" x14ac:dyDescent="0.3">
      <c r="A13" s="66"/>
      <c r="B13" s="17" t="s">
        <v>551</v>
      </c>
      <c r="C13" s="38"/>
      <c r="D13" s="19"/>
      <c r="E13" s="38"/>
      <c r="F13" s="38"/>
      <c r="G13" s="19"/>
      <c r="H13" s="39"/>
      <c r="I13" s="17" t="s">
        <v>552</v>
      </c>
      <c r="J13" s="38"/>
      <c r="K13" s="38"/>
      <c r="L13" s="38"/>
      <c r="M13" s="39"/>
    </row>
    <row r="14" spans="1:13" ht="15" thickBot="1" x14ac:dyDescent="0.35">
      <c r="A14" s="15"/>
      <c r="B14" s="1239" t="s">
        <v>414</v>
      </c>
      <c r="C14" s="1240"/>
      <c r="D14" s="1240"/>
      <c r="E14" s="1240" t="s">
        <v>421</v>
      </c>
      <c r="F14" s="1240"/>
      <c r="G14" s="1240"/>
      <c r="H14" s="36"/>
      <c r="I14" s="1239" t="s">
        <v>414</v>
      </c>
      <c r="J14" s="1240"/>
      <c r="K14" s="40" t="s">
        <v>421</v>
      </c>
      <c r="L14" s="40"/>
      <c r="M14" s="18"/>
    </row>
    <row r="15" spans="1:13" ht="18" x14ac:dyDescent="0.35">
      <c r="A15" s="80" t="s">
        <v>395</v>
      </c>
      <c r="B15" s="44" t="s">
        <v>415</v>
      </c>
      <c r="C15" s="31" t="s">
        <v>412</v>
      </c>
      <c r="D15" s="31" t="s">
        <v>548</v>
      </c>
      <c r="E15" s="78" t="s">
        <v>415</v>
      </c>
      <c r="F15" s="31" t="s">
        <v>412</v>
      </c>
      <c r="G15" s="31" t="s">
        <v>548</v>
      </c>
      <c r="H15" s="67"/>
      <c r="I15" s="44" t="s">
        <v>415</v>
      </c>
      <c r="J15" s="31" t="s">
        <v>412</v>
      </c>
      <c r="K15" s="78" t="s">
        <v>415</v>
      </c>
      <c r="L15" s="31" t="s">
        <v>412</v>
      </c>
      <c r="M15" s="67"/>
    </row>
    <row r="16" spans="1:13" x14ac:dyDescent="0.3">
      <c r="A16" s="15" t="s">
        <v>337</v>
      </c>
      <c r="B16" s="133" t="e">
        <f>'Ledningsnett - faktorer'!D4*CO2_diesel*'Transportsystemer - Ressursfane'!#REF!*1/3</f>
        <v>#REF!</v>
      </c>
      <c r="C16" s="85" t="e">
        <f>'Ledningsnett - faktorer'!J4*CO2_diesel*'Transportsystemer - Ressursfane'!#REF!*1/2</f>
        <v>#REF!</v>
      </c>
      <c r="D16" s="85" t="e">
        <f>'Ledningsnett - faktorer'!O4*CO2_diesel*'Transportsystemer - Ressursfane'!#REF!</f>
        <v>#REF!</v>
      </c>
      <c r="E16" s="84" t="e">
        <f>'Ledningsnett - faktorer'!D11*CO2_diesel*'Transportsystemer - Ressursfane'!#REF!*1/3</f>
        <v>#REF!</v>
      </c>
      <c r="F16" s="85" t="e">
        <f>'Ledningsnett - faktorer'!J11*CO2_diesel*'Transportsystemer - Ressursfane'!#REF!*1/2</f>
        <v>#REF!</v>
      </c>
      <c r="G16" s="85" t="e">
        <f>'Ledningsnett - faktorer'!O11*CO2_diesel*'Transportsystemer - Ressursfane'!#REF!</f>
        <v>#REF!</v>
      </c>
      <c r="H16" s="177" t="s">
        <v>358</v>
      </c>
      <c r="I16" s="133">
        <f>'Ledningsnett - faktorer'!D4*CO2_diesel*'Transportsystem Avløp - Input g'!C24*2/3</f>
        <v>0</v>
      </c>
      <c r="J16" s="85">
        <f>'Ledningsnett - faktorer'!J4*CO2_diesel*'Transportsystem Avløp - Input g'!D24*1/2</f>
        <v>0</v>
      </c>
      <c r="K16" s="84">
        <f>'Ledningsnett - faktorer'!D11*CO2_diesel*'Transportsystem Avløp - Input g'!C25*2/3</f>
        <v>0</v>
      </c>
      <c r="L16" s="85">
        <f>'Ledningsnett - faktorer'!J11*CO2_diesel*'Transportsystem Avløp - Input g'!D25*1/2</f>
        <v>0</v>
      </c>
      <c r="M16" s="177" t="s">
        <v>358</v>
      </c>
    </row>
    <row r="17" spans="1:13" x14ac:dyDescent="0.3">
      <c r="A17" s="15" t="s">
        <v>340</v>
      </c>
      <c r="B17" s="133" t="e">
        <f>'Ledningsnett - faktorer'!E4*CO2_diesel*'Transportsystemer - Ressursfane'!#REF!*1/3</f>
        <v>#REF!</v>
      </c>
      <c r="C17" s="85" t="e">
        <f>'Ledningsnett - faktorer'!K4*CO2_diesel*'Transportsystemer - Ressursfane'!#REF!*1/2</f>
        <v>#REF!</v>
      </c>
      <c r="D17" s="85" t="e">
        <f>'Ledningsnett - faktorer'!P4*CO2_diesel*'Transportsystemer - Ressursfane'!#REF!</f>
        <v>#REF!</v>
      </c>
      <c r="E17" s="84" t="e">
        <f>'Ledningsnett - faktorer'!E11*CO2_diesel*'Transportsystemer - Ressursfane'!#REF!*1/3</f>
        <v>#REF!</v>
      </c>
      <c r="F17" s="85" t="e">
        <f>'Ledningsnett - faktorer'!K11*CO2_diesel*'Transportsystemer - Ressursfane'!#REF!*1/2</f>
        <v>#REF!</v>
      </c>
      <c r="G17" s="85" t="e">
        <f>'Ledningsnett - faktorer'!P11*CO2_diesel*'Transportsystemer - Ressursfane'!#REF!</f>
        <v>#REF!</v>
      </c>
      <c r="H17" s="177" t="s">
        <v>358</v>
      </c>
      <c r="I17" s="133">
        <f>'Ledningsnett - faktorer'!E4*CO2_diesel*'Transportsystem Avløp - Input g'!C24*2/3</f>
        <v>0</v>
      </c>
      <c r="J17" s="85">
        <f>'Ledningsnett - faktorer'!K4*CO2_diesel*'Transportsystem Avløp - Input g'!D24*1/2</f>
        <v>0</v>
      </c>
      <c r="K17" s="84">
        <f>'Ledningsnett - faktorer'!E11*CO2_diesel*'Transportsystem Avløp - Input g'!C25*2/3</f>
        <v>0</v>
      </c>
      <c r="L17" s="85">
        <f>'Ledningsnett - faktorer'!K11*CO2_diesel*'Transportsystem Avløp - Input g'!D25*1/2</f>
        <v>0</v>
      </c>
      <c r="M17" s="177" t="s">
        <v>358</v>
      </c>
    </row>
    <row r="18" spans="1:13" x14ac:dyDescent="0.3">
      <c r="A18" s="15" t="s">
        <v>361</v>
      </c>
      <c r="B18" s="133" t="e">
        <f t="shared" ref="B18:G18" si="1">SUM(B16:B17)</f>
        <v>#REF!</v>
      </c>
      <c r="C18" s="85" t="e">
        <f t="shared" si="1"/>
        <v>#REF!</v>
      </c>
      <c r="D18" s="85" t="e">
        <f t="shared" si="1"/>
        <v>#REF!</v>
      </c>
      <c r="E18" s="84" t="e">
        <f t="shared" si="1"/>
        <v>#REF!</v>
      </c>
      <c r="F18" s="85" t="e">
        <f t="shared" si="1"/>
        <v>#REF!</v>
      </c>
      <c r="G18" s="85" t="e">
        <f t="shared" si="1"/>
        <v>#REF!</v>
      </c>
      <c r="H18" s="177" t="s">
        <v>358</v>
      </c>
      <c r="I18" s="133">
        <f>SUM(I16:I17)</f>
        <v>0</v>
      </c>
      <c r="J18" s="85">
        <f>SUM(J16:J17)</f>
        <v>0</v>
      </c>
      <c r="K18" s="84">
        <f>SUM(K16:K17)</f>
        <v>0</v>
      </c>
      <c r="L18" s="85">
        <f>SUM(L16:L17)</f>
        <v>0</v>
      </c>
      <c r="M18" s="177" t="s">
        <v>358</v>
      </c>
    </row>
    <row r="19" spans="1:13" ht="15" thickBot="1" x14ac:dyDescent="0.35">
      <c r="A19" s="74" t="s">
        <v>353</v>
      </c>
      <c r="B19" s="203"/>
      <c r="C19" s="169"/>
      <c r="D19" s="169"/>
      <c r="E19" s="168"/>
      <c r="F19" s="169"/>
      <c r="G19" s="169" t="e">
        <f>SUM(B18:G18)</f>
        <v>#REF!</v>
      </c>
      <c r="H19" s="178" t="s">
        <v>358</v>
      </c>
      <c r="I19" s="203"/>
      <c r="J19" s="169"/>
      <c r="K19" s="168"/>
      <c r="L19" s="169">
        <f>SUM(I18:L18)</f>
        <v>0</v>
      </c>
      <c r="M19" s="178" t="s">
        <v>358</v>
      </c>
    </row>
    <row r="20" spans="1:13" x14ac:dyDescent="0.3">
      <c r="A20" s="15"/>
      <c r="B20" s="204"/>
      <c r="C20" s="107"/>
      <c r="E20" s="107"/>
      <c r="F20" s="107"/>
      <c r="H20" s="18"/>
      <c r="I20" s="204"/>
      <c r="J20" s="107"/>
      <c r="K20" s="107"/>
      <c r="L20" s="107"/>
      <c r="M20" s="18"/>
    </row>
    <row r="21" spans="1:13" ht="15" thickBot="1" x14ac:dyDescent="0.35">
      <c r="A21" s="15"/>
      <c r="B21" s="1242" t="s">
        <v>414</v>
      </c>
      <c r="C21" s="1241"/>
      <c r="D21" s="1241"/>
      <c r="E21" s="1241" t="s">
        <v>421</v>
      </c>
      <c r="F21" s="1241"/>
      <c r="G21" s="1241"/>
      <c r="H21" s="18"/>
      <c r="I21" s="1239" t="s">
        <v>414</v>
      </c>
      <c r="J21" s="1240"/>
      <c r="K21" s="16" t="s">
        <v>421</v>
      </c>
      <c r="M21" s="18"/>
    </row>
    <row r="22" spans="1:13" ht="15.6" x14ac:dyDescent="0.3">
      <c r="A22" s="30" t="s">
        <v>397</v>
      </c>
      <c r="B22" s="44" t="s">
        <v>415</v>
      </c>
      <c r="C22" s="31" t="s">
        <v>412</v>
      </c>
      <c r="D22" s="31" t="s">
        <v>548</v>
      </c>
      <c r="E22" s="78" t="s">
        <v>415</v>
      </c>
      <c r="F22" s="31" t="s">
        <v>412</v>
      </c>
      <c r="G22" s="31" t="s">
        <v>548</v>
      </c>
      <c r="H22" s="67"/>
      <c r="I22" s="44" t="s">
        <v>415</v>
      </c>
      <c r="J22" s="31" t="s">
        <v>412</v>
      </c>
      <c r="K22" s="78" t="s">
        <v>415</v>
      </c>
      <c r="L22" s="31" t="s">
        <v>412</v>
      </c>
      <c r="M22" s="67"/>
    </row>
    <row r="23" spans="1:13" x14ac:dyDescent="0.3">
      <c r="A23" s="15" t="s">
        <v>337</v>
      </c>
      <c r="B23" s="133" t="e">
        <f>'Ledningsnett - faktorer'!D5*CO2_diesel*'Transportsystemer - Ressursfane'!#REF!*1/3</f>
        <v>#REF!</v>
      </c>
      <c r="C23" s="85" t="e">
        <f>'Ledningsnett - faktorer'!J5*CO2_diesel*'Transportsystemer - Ressursfane'!#REF!*1/2</f>
        <v>#REF!</v>
      </c>
      <c r="D23" s="85" t="e">
        <f>'Ledningsnett - faktorer'!O5*CO2_diesel*'Transportsystemer - Ressursfane'!#REF!</f>
        <v>#REF!</v>
      </c>
      <c r="E23" s="84" t="e">
        <f>'Ledningsnett - faktorer'!D12*CO2_diesel*'Transportsystemer - Ressursfane'!#REF!*1/3</f>
        <v>#REF!</v>
      </c>
      <c r="F23" s="85" t="e">
        <f>'Ledningsnett - faktorer'!J12*CO2_diesel*'Transportsystemer - Ressursfane'!#REF!*1/2</f>
        <v>#REF!</v>
      </c>
      <c r="G23" s="85" t="e">
        <f>'Ledningsnett - faktorer'!O12*CO2_diesel*'Transportsystemer - Ressursfane'!#REF!</f>
        <v>#REF!</v>
      </c>
      <c r="H23" s="177" t="s">
        <v>358</v>
      </c>
      <c r="I23" s="133">
        <f>'Ledningsnett - faktorer'!D5*CO2_diesel*'Transportsystem Avløp - Input g'!C29*2/3</f>
        <v>0</v>
      </c>
      <c r="J23" s="85">
        <f>'Ledningsnett - faktorer'!J5*CO2_diesel*'Transportsystem Avløp - Input g'!D29*1/2</f>
        <v>0</v>
      </c>
      <c r="K23" s="84">
        <f>'Ledningsnett - faktorer'!D12*CO2_diesel*'Transportsystem Avløp - Input g'!C30*2/3</f>
        <v>0</v>
      </c>
      <c r="L23" s="85">
        <f>'Ledningsnett - faktorer'!J12*CO2_diesel*'Transportsystem Avløp - Input g'!D30*1/2</f>
        <v>0</v>
      </c>
      <c r="M23" s="177" t="s">
        <v>358</v>
      </c>
    </row>
    <row r="24" spans="1:13" x14ac:dyDescent="0.3">
      <c r="A24" s="15" t="s">
        <v>340</v>
      </c>
      <c r="B24" s="133" t="e">
        <f>'Ledningsnett - faktorer'!E5*CO2_diesel*'Transportsystemer - Ressursfane'!#REF!*1/3</f>
        <v>#REF!</v>
      </c>
      <c r="C24" s="85" t="e">
        <f>'Ledningsnett - faktorer'!K5*CO2_diesel*'Transportsystemer - Ressursfane'!#REF!*1/2</f>
        <v>#REF!</v>
      </c>
      <c r="D24" s="85" t="e">
        <f>'Ledningsnett - faktorer'!P5*CO2_diesel*'Transportsystemer - Ressursfane'!#REF!</f>
        <v>#REF!</v>
      </c>
      <c r="E24" s="84" t="e">
        <f>'Ledningsnett - faktorer'!E12*CO2_diesel*'Transportsystemer - Ressursfane'!#REF!*1/3</f>
        <v>#REF!</v>
      </c>
      <c r="F24" s="85" t="e">
        <f>'Ledningsnett - faktorer'!K12*CO2_diesel*'Transportsystemer - Ressursfane'!#REF!*1/2</f>
        <v>#REF!</v>
      </c>
      <c r="G24" s="85" t="e">
        <f>'Ledningsnett - faktorer'!P12*CO2_diesel*'Transportsystemer - Ressursfane'!#REF!</f>
        <v>#REF!</v>
      </c>
      <c r="H24" s="177" t="s">
        <v>358</v>
      </c>
      <c r="I24" s="133">
        <f>'Ledningsnett - faktorer'!E5*CO2_diesel*'Transportsystem Avløp - Input g'!C29*2/3</f>
        <v>0</v>
      </c>
      <c r="J24" s="85">
        <f>'Ledningsnett - faktorer'!K5*CO2_diesel*'Transportsystem Avløp - Input g'!D29*1/2</f>
        <v>0</v>
      </c>
      <c r="K24" s="84">
        <f>'Ledningsnett - faktorer'!E12*CO2_diesel*'Transportsystem Avløp - Input g'!C30*2/3</f>
        <v>0</v>
      </c>
      <c r="L24" s="85">
        <f>'Ledningsnett - faktorer'!K12*CO2_diesel*'Transportsystem Avløp - Input g'!D30*1/2</f>
        <v>0</v>
      </c>
      <c r="M24" s="177" t="s">
        <v>358</v>
      </c>
    </row>
    <row r="25" spans="1:13" x14ac:dyDescent="0.3">
      <c r="A25" s="15" t="s">
        <v>361</v>
      </c>
      <c r="B25" s="133" t="e">
        <f>SUM(B23:B24)</f>
        <v>#REF!</v>
      </c>
      <c r="C25" s="85" t="e">
        <f>SUM(C23:C24)</f>
        <v>#REF!</v>
      </c>
      <c r="D25" s="85" t="e">
        <f>SUM(D23:D24)</f>
        <v>#REF!</v>
      </c>
      <c r="E25" s="84" t="e">
        <f t="shared" ref="E25:F25" si="2">SUM(E23:E24)</f>
        <v>#REF!</v>
      </c>
      <c r="F25" s="85" t="e">
        <f t="shared" si="2"/>
        <v>#REF!</v>
      </c>
      <c r="G25" s="85" t="e">
        <f t="shared" ref="G25" si="3">SUM(G23:G24)</f>
        <v>#REF!</v>
      </c>
      <c r="H25" s="177" t="s">
        <v>358</v>
      </c>
      <c r="I25" s="133">
        <f>SUM(I23:I24)</f>
        <v>0</v>
      </c>
      <c r="J25" s="85">
        <f>SUM(J23:J24)</f>
        <v>0</v>
      </c>
      <c r="K25" s="84">
        <f t="shared" ref="K25:L25" si="4">SUM(K23:K24)</f>
        <v>0</v>
      </c>
      <c r="L25" s="85">
        <f t="shared" si="4"/>
        <v>0</v>
      </c>
      <c r="M25" s="177" t="s">
        <v>358</v>
      </c>
    </row>
    <row r="26" spans="1:13" ht="15" thickBot="1" x14ac:dyDescent="0.35">
      <c r="A26" s="74" t="s">
        <v>354</v>
      </c>
      <c r="B26" s="203"/>
      <c r="C26" s="169"/>
      <c r="D26" s="169"/>
      <c r="E26" s="168"/>
      <c r="F26" s="169"/>
      <c r="G26" s="169" t="e">
        <f>SUM(B25:G25)</f>
        <v>#REF!</v>
      </c>
      <c r="H26" s="178" t="s">
        <v>358</v>
      </c>
      <c r="I26" s="203"/>
      <c r="J26" s="169"/>
      <c r="K26" s="168"/>
      <c r="L26" s="169">
        <f>SUM(I25:L25)</f>
        <v>0</v>
      </c>
      <c r="M26" s="178" t="s">
        <v>358</v>
      </c>
    </row>
    <row r="27" spans="1:13" x14ac:dyDescent="0.3">
      <c r="A27" s="15"/>
      <c r="B27" s="15"/>
      <c r="H27" s="18"/>
      <c r="I27" s="15"/>
      <c r="M27" s="18"/>
    </row>
    <row r="28" spans="1:13" ht="15" thickBot="1" x14ac:dyDescent="0.35">
      <c r="A28" s="15"/>
      <c r="B28" s="1242" t="s">
        <v>414</v>
      </c>
      <c r="C28" s="1241"/>
      <c r="D28" s="1241"/>
      <c r="E28" s="1241" t="s">
        <v>421</v>
      </c>
      <c r="F28" s="1241"/>
      <c r="G28" s="1241"/>
      <c r="H28" s="18"/>
      <c r="I28" s="15" t="s">
        <v>414</v>
      </c>
      <c r="K28" s="16" t="s">
        <v>421</v>
      </c>
      <c r="M28" s="18"/>
    </row>
    <row r="29" spans="1:13" x14ac:dyDescent="0.3">
      <c r="A29" s="51" t="s">
        <v>13</v>
      </c>
      <c r="B29" s="44" t="s">
        <v>415</v>
      </c>
      <c r="C29" s="31" t="s">
        <v>412</v>
      </c>
      <c r="D29" s="31" t="s">
        <v>548</v>
      </c>
      <c r="E29" s="78" t="s">
        <v>415</v>
      </c>
      <c r="F29" s="31" t="s">
        <v>412</v>
      </c>
      <c r="G29" s="31" t="s">
        <v>548</v>
      </c>
      <c r="H29" s="67"/>
      <c r="I29" s="44" t="s">
        <v>415</v>
      </c>
      <c r="J29" s="31" t="s">
        <v>412</v>
      </c>
      <c r="K29" s="78" t="s">
        <v>415</v>
      </c>
      <c r="L29" s="31" t="s">
        <v>412</v>
      </c>
      <c r="M29" s="67"/>
    </row>
    <row r="30" spans="1:13" x14ac:dyDescent="0.3">
      <c r="A30" s="15" t="s">
        <v>340</v>
      </c>
      <c r="B30" s="132" t="e">
        <f>('Ledningsnett - faktorer'!D6+'Ledningsnett - faktorer'!E6)*CO2_diesel*'Transportsystemer - Ressursfane'!#REF!*1/3</f>
        <v>#REF!</v>
      </c>
      <c r="C30" s="87" t="e">
        <f>('Ledningsnett - faktorer'!J6+'Ledningsnett - faktorer'!K6)*CO2_diesel*'Transportsystemer - Ressursfane'!#REF!*1/2</f>
        <v>#REF!</v>
      </c>
      <c r="D30" s="87" t="e">
        <f>('Ledningsnett - faktorer'!P6+'Ledningsnett - faktorer'!Q6)*CO2_diesel*'Transportsystemer - Ressursfane'!#REF!</f>
        <v>#REF!</v>
      </c>
      <c r="E30" s="86" t="e">
        <f>('Ledningsnett - faktorer'!D13+'Ledningsnett - faktorer'!E13)*CO2_diesel*'Transportsystemer - Ressursfane'!#REF!*1/3</f>
        <v>#REF!</v>
      </c>
      <c r="F30" s="87" t="e">
        <f>('Ledningsnett - faktorer'!J13+'Ledningsnett - faktorer'!K13)*CO2_diesel*'Transportsystemer - Ressursfane'!#REF!*1/2</f>
        <v>#REF!</v>
      </c>
      <c r="G30" s="87" t="e">
        <f>('Ledningsnett - faktorer'!P13+'Ledningsnett - faktorer'!Q13)*CO2_diesel*'Transportsystemer - Ressursfane'!#REF!</f>
        <v>#REF!</v>
      </c>
      <c r="H30" s="177" t="s">
        <v>358</v>
      </c>
      <c r="I30" s="132">
        <f>('Ledningsnett - faktorer'!D6+'Ledningsnett - faktorer'!E6)*CO2_diesel*'Transportsystem Avløp - Input g'!C34*2/3</f>
        <v>0</v>
      </c>
      <c r="J30" s="87">
        <f>('Ledningsnett - faktorer'!J6+'Ledningsnett - faktorer'!K6)*CO2_diesel*'Transportsystem Avløp - Input g'!D34*1/2</f>
        <v>0</v>
      </c>
      <c r="K30" s="86">
        <f>('Ledningsnett - faktorer'!D13+'Ledningsnett - faktorer'!E13)*CO2_diesel*'Transportsystem Avløp - Input g'!C35*2/3</f>
        <v>0</v>
      </c>
      <c r="L30" s="87">
        <f>('Ledningsnett - faktorer'!J13+'Ledningsnett - faktorer'!K13)*CO2_diesel*'Transportsystem Avløp - Input g'!D35*1/2</f>
        <v>0</v>
      </c>
      <c r="M30" s="177" t="s">
        <v>358</v>
      </c>
    </row>
    <row r="31" spans="1:13" ht="15" thickBot="1" x14ac:dyDescent="0.35">
      <c r="A31" s="74" t="s">
        <v>355</v>
      </c>
      <c r="B31" s="173"/>
      <c r="C31" s="172"/>
      <c r="D31" s="172"/>
      <c r="E31" s="171"/>
      <c r="F31" s="172"/>
      <c r="G31" s="172" t="e">
        <f>SUM(B30:G30)</f>
        <v>#REF!</v>
      </c>
      <c r="H31" s="178" t="s">
        <v>358</v>
      </c>
      <c r="I31" s="173"/>
      <c r="J31" s="172"/>
      <c r="K31" s="171"/>
      <c r="L31" s="172">
        <f>SUM(I30:L30)</f>
        <v>0</v>
      </c>
      <c r="M31" s="178" t="s">
        <v>358</v>
      </c>
    </row>
    <row r="32" spans="1:13" x14ac:dyDescent="0.3">
      <c r="A32" s="15"/>
      <c r="B32" s="15"/>
      <c r="H32" s="18"/>
      <c r="I32" s="15"/>
      <c r="M32" s="18"/>
    </row>
    <row r="33" spans="1:19" ht="15" thickBot="1" x14ac:dyDescent="0.35">
      <c r="A33" s="15"/>
      <c r="B33" s="1242" t="s">
        <v>414</v>
      </c>
      <c r="C33" s="1241"/>
      <c r="D33" s="1241"/>
      <c r="E33" s="1241" t="s">
        <v>421</v>
      </c>
      <c r="F33" s="1241"/>
      <c r="G33" s="1241"/>
      <c r="H33" s="18"/>
      <c r="I33" s="212" t="s">
        <v>414</v>
      </c>
      <c r="J33" s="211"/>
      <c r="K33" s="211" t="s">
        <v>421</v>
      </c>
      <c r="L33" s="211"/>
      <c r="M33" s="18"/>
    </row>
    <row r="34" spans="1:19" x14ac:dyDescent="0.3">
      <c r="A34" s="17" t="s">
        <v>14</v>
      </c>
      <c r="B34" s="44" t="s">
        <v>415</v>
      </c>
      <c r="C34" s="31" t="s">
        <v>412</v>
      </c>
      <c r="D34" s="31" t="s">
        <v>548</v>
      </c>
      <c r="E34" s="78" t="s">
        <v>415</v>
      </c>
      <c r="F34" s="31" t="s">
        <v>412</v>
      </c>
      <c r="G34" s="31" t="s">
        <v>548</v>
      </c>
      <c r="H34" s="67"/>
      <c r="I34" s="44" t="s">
        <v>415</v>
      </c>
      <c r="J34" s="31" t="s">
        <v>412</v>
      </c>
      <c r="K34" s="78" t="s">
        <v>415</v>
      </c>
      <c r="L34" s="31" t="s">
        <v>412</v>
      </c>
      <c r="M34" s="67"/>
    </row>
    <row r="35" spans="1:19" x14ac:dyDescent="0.3">
      <c r="A35" s="15" t="s">
        <v>340</v>
      </c>
      <c r="B35" s="132" t="e">
        <f>('Ledningsnett - faktorer'!E7+'Ledningsnett - faktorer'!F7)*CO2_diesel*'Transportsystemer - Ressursfane'!#REF!*1/3</f>
        <v>#REF!</v>
      </c>
      <c r="C35" s="87" t="e">
        <f>('Ledningsnett - faktorer'!K7+'Ledningsnett - faktorer'!L7)*CO2_diesel*'Transportsystemer - Ressursfane'!#REF!*1/2</f>
        <v>#REF!</v>
      </c>
      <c r="D35" s="87" t="e">
        <f>('Ledningsnett - faktorer'!P7+'Ledningsnett - faktorer'!Q7)*CO2_diesel*'Transportsystemer - Ressursfane'!#REF!</f>
        <v>#REF!</v>
      </c>
      <c r="E35" s="86" t="e">
        <f>('Ledningsnett - faktorer'!E14+'Ledningsnett - faktorer'!F14)*CO2_diesel*'Transportsystemer - Ressursfane'!#REF!*1/3</f>
        <v>#REF!</v>
      </c>
      <c r="F35" s="87" t="e">
        <f>('Ledningsnett - faktorer'!K14+'Ledningsnett - faktorer'!L14)*CO2_diesel*'Transportsystemer - Ressursfane'!#REF!*1/2</f>
        <v>#REF!</v>
      </c>
      <c r="G35" s="87" t="e">
        <f>('Ledningsnett - faktorer'!P14+'Ledningsnett - faktorer'!Q14)*CO2_diesel*'Transportsystemer - Ressursfane'!#REF!*1/2</f>
        <v>#REF!</v>
      </c>
      <c r="H35" s="177" t="s">
        <v>358</v>
      </c>
      <c r="I35" s="132">
        <f>('Ledningsnett - faktorer'!E7+'Ledningsnett - faktorer'!F7)*CO2_diesel*'Transportsystem Avløp - Input g'!C39*2/3</f>
        <v>0</v>
      </c>
      <c r="J35" s="87">
        <f>('Ledningsnett - faktorer'!K7+'Ledningsnett - faktorer'!L7)*CO2_diesel*'Transportsystem Avløp - Input g'!D39*1/2</f>
        <v>0</v>
      </c>
      <c r="K35" s="86">
        <f>('Ledningsnett - faktorer'!E14+'Ledningsnett - faktorer'!F14)*CO2_diesel*'Transportsystem Avløp - Input g'!C40*2/3</f>
        <v>0</v>
      </c>
      <c r="L35" s="87">
        <f>('Ledningsnett - faktorer'!K14+'Ledningsnett - faktorer'!L14)*CO2_diesel*'Transportsystem Avløp - Input g'!D40*1/2</f>
        <v>0</v>
      </c>
      <c r="M35" s="177" t="s">
        <v>358</v>
      </c>
    </row>
    <row r="36" spans="1:19" ht="15" thickBot="1" x14ac:dyDescent="0.35">
      <c r="A36" s="74" t="s">
        <v>356</v>
      </c>
      <c r="B36" s="173"/>
      <c r="C36" s="172"/>
      <c r="D36" s="172"/>
      <c r="E36" s="171"/>
      <c r="F36" s="172"/>
      <c r="G36" s="172" t="e">
        <f>SUM(B35:G35)</f>
        <v>#REF!</v>
      </c>
      <c r="H36" s="178" t="s">
        <v>358</v>
      </c>
      <c r="I36" s="173"/>
      <c r="J36" s="172"/>
      <c r="K36" s="171"/>
      <c r="L36" s="172">
        <f>SUM(I35:L35)</f>
        <v>0</v>
      </c>
      <c r="M36" s="178" t="s">
        <v>358</v>
      </c>
    </row>
    <row r="37" spans="1:19" ht="15" thickBot="1" x14ac:dyDescent="0.35"/>
    <row r="38" spans="1:19" x14ac:dyDescent="0.3">
      <c r="A38" s="17" t="s">
        <v>359</v>
      </c>
      <c r="B38" s="1235">
        <v>100</v>
      </c>
      <c r="C38" s="1236"/>
      <c r="D38" s="1235">
        <v>150</v>
      </c>
      <c r="E38" s="1234"/>
      <c r="F38" s="1235">
        <v>200</v>
      </c>
      <c r="G38" s="1234"/>
      <c r="H38" s="1235">
        <v>250</v>
      </c>
      <c r="I38" s="1234"/>
      <c r="J38" s="1235">
        <v>300</v>
      </c>
      <c r="K38" s="1234"/>
      <c r="L38" s="1235">
        <v>400</v>
      </c>
      <c r="M38" s="1234"/>
      <c r="N38" s="1235">
        <v>600</v>
      </c>
      <c r="O38" s="1234"/>
      <c r="P38" s="1235" t="s">
        <v>331</v>
      </c>
      <c r="Q38" s="1236"/>
      <c r="R38" s="1236"/>
      <c r="S38" s="20"/>
    </row>
    <row r="39" spans="1:19" ht="15" thickBot="1" x14ac:dyDescent="0.35">
      <c r="A39" s="131"/>
      <c r="B39" s="27" t="s">
        <v>508</v>
      </c>
      <c r="C39" s="40" t="s">
        <v>509</v>
      </c>
      <c r="D39" s="27" t="s">
        <v>508</v>
      </c>
      <c r="E39" s="36" t="s">
        <v>509</v>
      </c>
      <c r="F39" s="27" t="s">
        <v>508</v>
      </c>
      <c r="G39" s="36" t="s">
        <v>509</v>
      </c>
      <c r="H39" s="27" t="s">
        <v>508</v>
      </c>
      <c r="I39" s="36" t="s">
        <v>509</v>
      </c>
      <c r="J39" s="27" t="s">
        <v>508</v>
      </c>
      <c r="K39" s="36" t="s">
        <v>509</v>
      </c>
      <c r="L39" s="27" t="s">
        <v>508</v>
      </c>
      <c r="M39" s="36" t="s">
        <v>509</v>
      </c>
      <c r="N39" s="27" t="s">
        <v>508</v>
      </c>
      <c r="O39" s="36" t="s">
        <v>511</v>
      </c>
      <c r="P39" s="27" t="s">
        <v>254</v>
      </c>
      <c r="Q39" s="40" t="s">
        <v>508</v>
      </c>
      <c r="R39" s="40" t="s">
        <v>509</v>
      </c>
      <c r="S39" s="36"/>
    </row>
    <row r="40" spans="1:19" x14ac:dyDescent="0.3">
      <c r="A40" s="15" t="s">
        <v>3</v>
      </c>
      <c r="B40" s="132">
        <f>'Transportsystemer - Ressursfane'!D49*'Ledningsnett - faktorer'!$J20</f>
        <v>0</v>
      </c>
      <c r="C40" s="87">
        <f>'Transportsystem Avløp - Input g'!D43*'Ledningsnett - faktorer'!$J20</f>
        <v>0</v>
      </c>
      <c r="D40" s="87">
        <f>'Transportsystemer - Ressursfane'!E49*'Ledningsnett - faktorer'!K20</f>
        <v>0</v>
      </c>
      <c r="E40" s="87">
        <f>'Transportsystem Avløp - Input g'!E43*'Ledningsnett - faktorer'!K20</f>
        <v>0</v>
      </c>
      <c r="F40" s="87">
        <f>'Transportsystemer - Ressursfane'!F49*'Ledningsnett - faktorer'!L20</f>
        <v>0</v>
      </c>
      <c r="G40" s="87">
        <f>'Transportsystem Avløp - Input g'!F43*'Ledningsnett - faktorer'!L20</f>
        <v>0</v>
      </c>
      <c r="H40" s="87">
        <f>'Transportsystemer - Ressursfane'!G49*'Ledningsnett - faktorer'!M20</f>
        <v>0</v>
      </c>
      <c r="I40" s="87">
        <f>'Transportsystem Avløp - Input g'!G43*'Ledningsnett - faktorer'!M20</f>
        <v>0</v>
      </c>
      <c r="J40" s="87">
        <f>'Transportsystemer - Ressursfane'!H49*'Ledningsnett - faktorer'!N20</f>
        <v>113776415.57550487</v>
      </c>
      <c r="K40" s="87">
        <f>'Transportsystem Avløp - Input g'!H43*'Ledningsnett - faktorer'!N20</f>
        <v>0</v>
      </c>
      <c r="L40" s="87">
        <f>'Transportsystemer - Ressursfane'!I49*'Ledningsnett - faktorer'!O20</f>
        <v>0</v>
      </c>
      <c r="M40" s="87">
        <f>'Transportsystem Avløp - Input g'!I43*'Ledningsnett - faktorer'!O20</f>
        <v>0</v>
      </c>
      <c r="N40" s="87">
        <f>'Transportsystemer - Ressursfane'!J49*'Ledningsnett - faktorer'!$P20</f>
        <v>474068398.23127031</v>
      </c>
      <c r="O40" s="87">
        <f>'Transportsystem Avløp - Input g'!J43*'Ledningsnett - faktorer'!$P20</f>
        <v>0</v>
      </c>
      <c r="P40" s="87">
        <f t="shared" ref="P40:P45" si="5">SUM(B40:O40)</f>
        <v>587844813.80677521</v>
      </c>
      <c r="Q40" s="87">
        <f>B40+D40+F40+H40+J40+L40+N40</f>
        <v>587844813.80677521</v>
      </c>
      <c r="R40" s="87">
        <f>C40+E40+G40+I40+K40+M40+O40</f>
        <v>0</v>
      </c>
      <c r="S40" s="18" t="s">
        <v>358</v>
      </c>
    </row>
    <row r="41" spans="1:19" x14ac:dyDescent="0.3">
      <c r="A41" s="15" t="s">
        <v>7</v>
      </c>
      <c r="B41" s="132">
        <f>'Transportsystemer - Ressursfane'!D50*'Ledningsnett - faktorer'!$J21</f>
        <v>0</v>
      </c>
      <c r="C41" s="87">
        <f>'Transportsystem Avløp - Input g'!D44*'Ledningsnett - faktorer'!$J21</f>
        <v>0</v>
      </c>
      <c r="D41" s="87">
        <f>'Transportsystemer - Ressursfane'!E50*'Ledningsnett - faktorer'!K21</f>
        <v>0</v>
      </c>
      <c r="E41" s="87">
        <f>'Transportsystem Avløp - Input g'!E44*'Ledningsnett - faktorer'!K21</f>
        <v>0</v>
      </c>
      <c r="F41" s="87">
        <f>'Transportsystemer - Ressursfane'!F50*'Ledningsnett - faktorer'!L21</f>
        <v>0</v>
      </c>
      <c r="G41" s="87">
        <f>'Transportsystem Avløp - Input g'!F44*'Ledningsnett - faktorer'!L21</f>
        <v>0</v>
      </c>
      <c r="H41" s="87">
        <f>'Transportsystemer - Ressursfane'!G50*'Ledningsnett - faktorer'!M21</f>
        <v>0</v>
      </c>
      <c r="I41" s="87">
        <f>'Transportsystem Avløp - Input g'!G44*'Ledningsnett - faktorer'!M21</f>
        <v>0</v>
      </c>
      <c r="J41" s="87">
        <f>'Transportsystemer - Ressursfane'!H50*'Ledningsnett - faktorer'!N21</f>
        <v>54687847.388801455</v>
      </c>
      <c r="K41" s="87">
        <f>'Transportsystem Avløp - Input g'!H44*'Ledningsnett - faktorer'!N21</f>
        <v>0</v>
      </c>
      <c r="L41" s="87">
        <f>'Transportsystemer - Ressursfane'!I50*'Ledningsnett - faktorer'!O21</f>
        <v>0</v>
      </c>
      <c r="M41" s="87">
        <f>'Transportsystem Avløp - Input g'!I44*'Ledningsnett - faktorer'!O21</f>
        <v>0</v>
      </c>
      <c r="N41" s="87">
        <f>'Transportsystemer - Ressursfane'!J50*'Ledningsnett - faktorer'!$P21</f>
        <v>219266830.4707543</v>
      </c>
      <c r="O41" s="87">
        <f>'Transportsystem Avløp - Input g'!J44*'Ledningsnett - faktorer'!$P21</f>
        <v>0</v>
      </c>
      <c r="P41" s="87">
        <f t="shared" si="5"/>
        <v>273954677.85955572</v>
      </c>
      <c r="Q41" s="87">
        <f>B41+D41+F41+H41+J41+L41+N41</f>
        <v>273954677.85955572</v>
      </c>
      <c r="R41" s="87">
        <f t="shared" ref="R41:R45" si="6">C41+E41+G41+I41+K41+M41+O41</f>
        <v>0</v>
      </c>
      <c r="S41" s="18" t="s">
        <v>358</v>
      </c>
    </row>
    <row r="42" spans="1:19" x14ac:dyDescent="0.3">
      <c r="A42" s="15" t="s">
        <v>8</v>
      </c>
      <c r="B42" s="132">
        <f>'Transportsystemer - Ressursfane'!D51*'Ledningsnett - faktorer'!$J22</f>
        <v>0</v>
      </c>
      <c r="C42" s="87">
        <f>'Transportsystem Avløp - Input g'!D45*'Ledningsnett - faktorer'!$J22</f>
        <v>0</v>
      </c>
      <c r="D42" s="87">
        <f>'Transportsystemer - Ressursfane'!E51*'Ledningsnett - faktorer'!K22</f>
        <v>0</v>
      </c>
      <c r="E42" s="87">
        <f>'Transportsystem Avløp - Input g'!E45*'Ledningsnett - faktorer'!K22</f>
        <v>0</v>
      </c>
      <c r="F42" s="87">
        <f>'Transportsystemer - Ressursfane'!F51*'Ledningsnett - faktorer'!L22</f>
        <v>0</v>
      </c>
      <c r="G42" s="87">
        <f>'Transportsystem Avløp - Input g'!F45*'Ledningsnett - faktorer'!L22</f>
        <v>0</v>
      </c>
      <c r="H42" s="87">
        <f>'Transportsystemer - Ressursfane'!G51*'Ledningsnett - faktorer'!M22</f>
        <v>0</v>
      </c>
      <c r="I42" s="87">
        <f>'Transportsystem Avløp - Input g'!G45*'Ledningsnett - faktorer'!M22</f>
        <v>0</v>
      </c>
      <c r="J42" s="87">
        <f>'Transportsystemer - Ressursfane'!H51*'Ledningsnett - faktorer'!N22</f>
        <v>99877141.770535499</v>
      </c>
      <c r="K42" s="87">
        <f>'Transportsystem Avløp - Input g'!H45*'Ledningsnett - faktorer'!N22</f>
        <v>0</v>
      </c>
      <c r="L42" s="87">
        <f>'Transportsystemer - Ressursfane'!I51*'Ledningsnett - faktorer'!O22</f>
        <v>0</v>
      </c>
      <c r="M42" s="87">
        <f>'Transportsystem Avløp - Input g'!I45*'Ledningsnett - faktorer'!O22</f>
        <v>0</v>
      </c>
      <c r="N42" s="87">
        <f>'Transportsystemer - Ressursfane'!J51*'Ledningsnett - faktorer'!$P22</f>
        <v>485932550.3646946</v>
      </c>
      <c r="O42" s="87">
        <f>'Transportsystem Avløp - Input g'!J45*'Ledningsnett - faktorer'!$P22</f>
        <v>0</v>
      </c>
      <c r="P42" s="87">
        <f t="shared" si="5"/>
        <v>585809692.13523006</v>
      </c>
      <c r="Q42" s="87">
        <f t="shared" ref="Q42:Q45" si="7">B42+D42+F42+H42+J42+L42+N42</f>
        <v>585809692.13523006</v>
      </c>
      <c r="R42" s="87">
        <f t="shared" si="6"/>
        <v>0</v>
      </c>
      <c r="S42" s="18" t="s">
        <v>358</v>
      </c>
    </row>
    <row r="43" spans="1:19" x14ac:dyDescent="0.3">
      <c r="A43" s="15" t="s">
        <v>5</v>
      </c>
      <c r="B43" s="132">
        <f>'Transportsystemer - Ressursfane'!D52*'Ledningsnett - faktorer'!$J23</f>
        <v>0</v>
      </c>
      <c r="C43" s="87">
        <f>'Transportsystem Avløp - Input g'!D46*'Ledningsnett - faktorer'!$J23</f>
        <v>0</v>
      </c>
      <c r="D43" s="87">
        <f>'Transportsystemer - Ressursfane'!E52*'Ledningsnett - faktorer'!K23</f>
        <v>0</v>
      </c>
      <c r="E43" s="87">
        <f>'Transportsystem Avløp - Input g'!E46*'Ledningsnett - faktorer'!K23</f>
        <v>0</v>
      </c>
      <c r="F43" s="87">
        <f>'Transportsystemer - Ressursfane'!F52*'Ledningsnett - faktorer'!L23</f>
        <v>0</v>
      </c>
      <c r="G43" s="87">
        <f>'Transportsystem Avløp - Input g'!F46*'Ledningsnett - faktorer'!L23</f>
        <v>0</v>
      </c>
      <c r="H43" s="87">
        <f>'Transportsystemer - Ressursfane'!G52*'Ledningsnett - faktorer'!M23</f>
        <v>0</v>
      </c>
      <c r="I43" s="87">
        <f>'Transportsystem Avløp - Input g'!G46*'Ledningsnett - faktorer'!M23</f>
        <v>0</v>
      </c>
      <c r="J43" s="87">
        <f>'Transportsystemer - Ressursfane'!H52*'Ledningsnett - faktorer'!N23</f>
        <v>0</v>
      </c>
      <c r="K43" s="87">
        <f>'Transportsystem Avløp - Input g'!H46*'Ledningsnett - faktorer'!N23</f>
        <v>0</v>
      </c>
      <c r="L43" s="87">
        <f>'Transportsystemer - Ressursfane'!I52*'Ledningsnett - faktorer'!O23</f>
        <v>0</v>
      </c>
      <c r="M43" s="87">
        <f>'Transportsystem Avløp - Input g'!I46*'Ledningsnett - faktorer'!O23</f>
        <v>0</v>
      </c>
      <c r="N43" s="87">
        <f>'Transportsystemer - Ressursfane'!J52*'Ledningsnett - faktorer'!$P23</f>
        <v>0</v>
      </c>
      <c r="O43" s="87">
        <f>'Transportsystem Avløp - Input g'!J46*'Ledningsnett - faktorer'!$P23</f>
        <v>0</v>
      </c>
      <c r="P43" s="87">
        <f t="shared" si="5"/>
        <v>0</v>
      </c>
      <c r="Q43" s="87">
        <f t="shared" si="7"/>
        <v>0</v>
      </c>
      <c r="R43" s="87">
        <f t="shared" si="6"/>
        <v>0</v>
      </c>
      <c r="S43" s="18" t="s">
        <v>358</v>
      </c>
    </row>
    <row r="44" spans="1:19" x14ac:dyDescent="0.3">
      <c r="A44" s="15" t="s">
        <v>6</v>
      </c>
      <c r="B44" s="132">
        <f>'Transportsystemer - Ressursfane'!D55*'Ledningsnett - faktorer'!$J24</f>
        <v>0</v>
      </c>
      <c r="C44" s="87">
        <f>'Transportsystem Avløp - Input g'!D47*'Ledningsnett - faktorer'!$J24</f>
        <v>0</v>
      </c>
      <c r="D44" s="87">
        <f>'Transportsystemer - Ressursfane'!E55*'Ledningsnett - faktorer'!K24</f>
        <v>0</v>
      </c>
      <c r="E44" s="87">
        <f>'Transportsystem Avløp - Input g'!E47*'Ledningsnett - faktorer'!K24</f>
        <v>0</v>
      </c>
      <c r="F44" s="87">
        <f>'Transportsystemer - Ressursfane'!F55*'Ledningsnett - faktorer'!L24</f>
        <v>0</v>
      </c>
      <c r="G44" s="87">
        <f>'Transportsystem Avløp - Input g'!F47*'Ledningsnett - faktorer'!L24</f>
        <v>0</v>
      </c>
      <c r="H44" s="87">
        <f>'Transportsystemer - Ressursfane'!G55*'Ledningsnett - faktorer'!M24</f>
        <v>0</v>
      </c>
      <c r="I44" s="87">
        <f>'Transportsystem Avløp - Input g'!G47*'Ledningsnett - faktorer'!M24</f>
        <v>0</v>
      </c>
      <c r="J44" s="87">
        <f>'Transportsystemer - Ressursfane'!H55*'Ledningsnett - faktorer'!N24</f>
        <v>0</v>
      </c>
      <c r="K44" s="87">
        <f>'Transportsystem Avløp - Input g'!H47*'Ledningsnett - faktorer'!N24</f>
        <v>0</v>
      </c>
      <c r="L44" s="87">
        <f>'Transportsystemer - Ressursfane'!I55*'Ledningsnett - faktorer'!O24</f>
        <v>0</v>
      </c>
      <c r="M44" s="87">
        <f>'Transportsystem Avløp - Input g'!I47*'Ledningsnett - faktorer'!O24</f>
        <v>0</v>
      </c>
      <c r="N44" s="87">
        <f>'Transportsystemer - Ressursfane'!J55*'Ledningsnett - faktorer'!$P24</f>
        <v>0</v>
      </c>
      <c r="O44" s="87">
        <f>'Transportsystem Avløp - Input g'!J47*'Ledningsnett - faktorer'!$P24</f>
        <v>0</v>
      </c>
      <c r="P44" s="87">
        <f t="shared" si="5"/>
        <v>0</v>
      </c>
      <c r="Q44" s="87">
        <f t="shared" si="7"/>
        <v>0</v>
      </c>
      <c r="R44" s="87">
        <f t="shared" si="6"/>
        <v>0</v>
      </c>
      <c r="S44" s="18" t="s">
        <v>358</v>
      </c>
    </row>
    <row r="45" spans="1:19" x14ac:dyDescent="0.3">
      <c r="A45" s="15" t="s">
        <v>9</v>
      </c>
      <c r="B45" s="132">
        <f>'Transportsystemer - Ressursfane'!D56*'Ledningsnett - faktorer'!$J25</f>
        <v>0</v>
      </c>
      <c r="C45" s="87">
        <f>'Transportsystem Avløp - Input g'!D48*'Ledningsnett - faktorer'!$J25</f>
        <v>0</v>
      </c>
      <c r="D45" s="87" t="e">
        <f>'Transportsystemer - Ressursfane'!E56*'Ledningsnett - faktorer'!K25</f>
        <v>#VALUE!</v>
      </c>
      <c r="E45" s="87">
        <f>'Transportsystem Avløp - Input g'!E48*'Ledningsnett - faktorer'!K25</f>
        <v>0</v>
      </c>
      <c r="F45" s="87">
        <f>'Transportsystemer - Ressursfane'!F56*'Ledningsnett - faktorer'!L25</f>
        <v>0</v>
      </c>
      <c r="G45" s="87">
        <f>'Transportsystem Avløp - Input g'!F48*'Ledningsnett - faktorer'!L25</f>
        <v>0</v>
      </c>
      <c r="H45" s="87" t="e">
        <f>'Transportsystemer - Ressursfane'!G56*'Ledningsnett - faktorer'!M25</f>
        <v>#VALUE!</v>
      </c>
      <c r="I45" s="87">
        <f>'Transportsystem Avløp - Input g'!G48*'Ledningsnett - faktorer'!M25</f>
        <v>0</v>
      </c>
      <c r="J45" s="87">
        <f>'Transportsystemer - Ressursfane'!H56*'Ledningsnett - faktorer'!N25</f>
        <v>0</v>
      </c>
      <c r="K45" s="87">
        <f>'Transportsystem Avløp - Input g'!H48*'Ledningsnett - faktorer'!N25</f>
        <v>0</v>
      </c>
      <c r="L45" s="87" t="e">
        <f>'Transportsystemer - Ressursfane'!I56*'Ledningsnett - faktorer'!O25</f>
        <v>#VALUE!</v>
      </c>
      <c r="M45" s="87">
        <f>'Transportsystem Avløp - Input g'!I48*'Ledningsnett - faktorer'!O25</f>
        <v>0</v>
      </c>
      <c r="N45" s="87">
        <f>'Transportsystemer - Ressursfane'!J56*'Ledningsnett - faktorer'!$P25</f>
        <v>0</v>
      </c>
      <c r="O45" s="87">
        <f>'Transportsystem Avløp - Input g'!J48*'Ledningsnett - faktorer'!$P25</f>
        <v>0</v>
      </c>
      <c r="P45" s="87" t="e">
        <f t="shared" si="5"/>
        <v>#VALUE!</v>
      </c>
      <c r="Q45" s="87" t="e">
        <f t="shared" si="7"/>
        <v>#VALUE!</v>
      </c>
      <c r="R45" s="87">
        <f t="shared" si="6"/>
        <v>0</v>
      </c>
      <c r="S45" s="18" t="s">
        <v>358</v>
      </c>
    </row>
    <row r="46" spans="1:19" x14ac:dyDescent="0.3">
      <c r="A46" s="15" t="s">
        <v>553</v>
      </c>
      <c r="B46" s="132" t="e">
        <f>'Transportsystemer - Ressursfane'!D57*'Ledningsnett - faktorer'!$J26</f>
        <v>#VALUE!</v>
      </c>
      <c r="C46" s="87">
        <f>'Transportsystem Avløp - Input g'!D49*'Ledningsnett - faktorer'!$J26</f>
        <v>0</v>
      </c>
      <c r="D46" s="87">
        <f>'Transportsystemer - Ressursfane'!E57*'Ledningsnett - faktorer'!K26</f>
        <v>0</v>
      </c>
      <c r="E46" s="87">
        <f>'Transportsystem Avløp - Input g'!E49*'Ledningsnett - faktorer'!K26</f>
        <v>0</v>
      </c>
      <c r="F46" s="87" t="e">
        <f>'Transportsystemer - Ressursfane'!F57*'Ledningsnett - faktorer'!L26</f>
        <v>#VALUE!</v>
      </c>
      <c r="G46" s="87">
        <f>'Transportsystem Avløp - Input g'!F49*'Ledningsnett - faktorer'!L26</f>
        <v>0</v>
      </c>
      <c r="H46" s="87">
        <f>'Transportsystemer - Ressursfane'!G57*'Ledningsnett - faktorer'!M26</f>
        <v>0</v>
      </c>
      <c r="I46" s="87">
        <f>'Transportsystem Avløp - Input g'!G49*'Ledningsnett - faktorer'!M26</f>
        <v>0</v>
      </c>
      <c r="J46" s="87" t="e">
        <f>'Transportsystemer - Ressursfane'!H57*'Ledningsnett - faktorer'!N26</f>
        <v>#VALUE!</v>
      </c>
      <c r="K46" s="87">
        <f>'Transportsystem Avløp - Input g'!H49*'Ledningsnett - faktorer'!N26</f>
        <v>0</v>
      </c>
      <c r="L46" s="87">
        <f>'Transportsystemer - Ressursfane'!I57*'Ledningsnett - faktorer'!O26</f>
        <v>0</v>
      </c>
      <c r="M46" s="87">
        <f>'Transportsystem Avløp - Input g'!I49*'Ledningsnett - faktorer'!O26</f>
        <v>0</v>
      </c>
      <c r="N46" s="87" t="e">
        <f>'Transportsystemer - Ressursfane'!J57*'Ledningsnett - faktorer'!$P26</f>
        <v>#VALUE!</v>
      </c>
      <c r="O46" s="87">
        <f>'Transportsystem Avløp - Input g'!J49*'Ledningsnett - faktorer'!$P26</f>
        <v>0</v>
      </c>
      <c r="P46" s="87" t="e">
        <f t="shared" ref="P46" si="8">SUM(B46:O46)</f>
        <v>#VALUE!</v>
      </c>
      <c r="Q46" s="87" t="e">
        <f t="shared" ref="Q46" si="9">B46+D46+F46+H46+J46+L46+N46</f>
        <v>#VALUE!</v>
      </c>
      <c r="R46" s="87">
        <f t="shared" ref="R46" si="10">C46+E46+G46+I46+K46+M46+O46</f>
        <v>0</v>
      </c>
      <c r="S46" s="18" t="s">
        <v>358</v>
      </c>
    </row>
    <row r="47" spans="1:19" ht="15" thickBot="1" x14ac:dyDescent="0.35">
      <c r="A47" s="74" t="s">
        <v>336</v>
      </c>
      <c r="B47" s="173">
        <f>SUM(B40:B45)</f>
        <v>0</v>
      </c>
      <c r="C47" s="172">
        <f t="shared" ref="C47:O47" si="11">SUM(C40:C45)</f>
        <v>0</v>
      </c>
      <c r="D47" s="172" t="e">
        <f t="shared" si="11"/>
        <v>#VALUE!</v>
      </c>
      <c r="E47" s="172">
        <f t="shared" si="11"/>
        <v>0</v>
      </c>
      <c r="F47" s="172">
        <f t="shared" si="11"/>
        <v>0</v>
      </c>
      <c r="G47" s="172">
        <f t="shared" si="11"/>
        <v>0</v>
      </c>
      <c r="H47" s="172" t="e">
        <f t="shared" si="11"/>
        <v>#VALUE!</v>
      </c>
      <c r="I47" s="172">
        <f t="shared" si="11"/>
        <v>0</v>
      </c>
      <c r="J47" s="172">
        <f t="shared" si="11"/>
        <v>268341404.73484182</v>
      </c>
      <c r="K47" s="172">
        <f t="shared" si="11"/>
        <v>0</v>
      </c>
      <c r="L47" s="172" t="e">
        <f t="shared" si="11"/>
        <v>#VALUE!</v>
      </c>
      <c r="M47" s="172">
        <f t="shared" si="11"/>
        <v>0</v>
      </c>
      <c r="N47" s="172">
        <f t="shared" si="11"/>
        <v>1179267779.0667191</v>
      </c>
      <c r="O47" s="172">
        <f t="shared" si="11"/>
        <v>0</v>
      </c>
      <c r="P47" s="172" t="e">
        <f>SUM(B47:O47)</f>
        <v>#VALUE!</v>
      </c>
      <c r="Q47" s="172" t="e">
        <f>B47+D47+F47+H47+J47+L47+N47</f>
        <v>#VALUE!</v>
      </c>
      <c r="R47" s="172">
        <f>C47+E47+G47+I47+K47+M47+O47</f>
        <v>0</v>
      </c>
      <c r="S47" s="170" t="s">
        <v>358</v>
      </c>
    </row>
    <row r="48" spans="1:19" x14ac:dyDescent="0.3">
      <c r="B48" s="81"/>
    </row>
    <row r="49" spans="1:13" ht="15" thickBot="1" x14ac:dyDescent="0.35">
      <c r="A49" s="14" t="s">
        <v>26</v>
      </c>
      <c r="B49" s="14" t="s">
        <v>551</v>
      </c>
      <c r="I49" s="14" t="s">
        <v>552</v>
      </c>
    </row>
    <row r="50" spans="1:13" x14ac:dyDescent="0.3">
      <c r="A50" s="109" t="s">
        <v>358</v>
      </c>
      <c r="B50" s="1243" t="s">
        <v>414</v>
      </c>
      <c r="C50" s="1244"/>
      <c r="D50" s="1244"/>
      <c r="E50" s="1233" t="s">
        <v>421</v>
      </c>
      <c r="F50" s="1236"/>
      <c r="G50" s="1245"/>
      <c r="H50" s="92"/>
      <c r="I50" s="1237" t="s">
        <v>414</v>
      </c>
      <c r="J50" s="1238"/>
      <c r="K50" s="76" t="s">
        <v>421</v>
      </c>
      <c r="L50" s="19"/>
      <c r="M50" s="92"/>
    </row>
    <row r="51" spans="1:13" x14ac:dyDescent="0.3">
      <c r="A51" s="88" t="s">
        <v>360</v>
      </c>
      <c r="B51" s="111" t="s">
        <v>415</v>
      </c>
      <c r="C51" s="108" t="s">
        <v>412</v>
      </c>
      <c r="D51" s="108" t="s">
        <v>548</v>
      </c>
      <c r="E51" s="111" t="s">
        <v>415</v>
      </c>
      <c r="F51" s="108" t="s">
        <v>412</v>
      </c>
      <c r="G51" s="108" t="s">
        <v>548</v>
      </c>
      <c r="H51" s="105" t="s">
        <v>336</v>
      </c>
      <c r="I51" s="111" t="s">
        <v>415</v>
      </c>
      <c r="J51" s="112" t="s">
        <v>412</v>
      </c>
      <c r="K51" s="111" t="s">
        <v>415</v>
      </c>
      <c r="L51" s="108" t="s">
        <v>412</v>
      </c>
      <c r="M51" s="105" t="s">
        <v>336</v>
      </c>
    </row>
    <row r="52" spans="1:13" x14ac:dyDescent="0.3">
      <c r="A52" s="15" t="s">
        <v>0</v>
      </c>
      <c r="B52" s="86">
        <f>'Ledningsnett - faktorer'!C4*'Ledningsnett - faktorer'!$D$48*'Transportsystemer - Ressursfane'!D64*1/3</f>
        <v>0</v>
      </c>
      <c r="C52" s="87">
        <f>'Ledningsnett - faktorer'!I4*'Ledningsnett - faktorer'!$D$48*'Transportsystemer - Ressursfane'!D64*1/2</f>
        <v>0</v>
      </c>
      <c r="D52" s="87">
        <f>'Ledningsnett - faktorer'!I4*'Ledningsnett - faktorer'!$D$48*'Transportsystemer - Ressursfane'!D64</f>
        <v>0</v>
      </c>
      <c r="E52" s="86">
        <f>'Ledningsnett - faktorer'!C11*'Ledningsnett - faktorer'!$D$48*'Transportsystemer - Ressursfane'!D64*1/3</f>
        <v>0</v>
      </c>
      <c r="F52" s="87">
        <f>'Ledningsnett - faktorer'!I11*'Ledningsnett - faktorer'!$D$48*'Transportsystemer - Ressursfane'!D64*1/2</f>
        <v>0</v>
      </c>
      <c r="G52" s="113">
        <f>'Ledningsnett - faktorer'!J11*'Ledningsnett - faktorer'!$D$48*'Transportsystemer - Ressursfane'!D64</f>
        <v>0</v>
      </c>
      <c r="H52" s="89">
        <f>SUM(B52:G52)</f>
        <v>0</v>
      </c>
      <c r="I52" s="86">
        <f>'Ledningsnett - faktorer'!C4*'Ledningsnett - faktorer'!$D$48*'Transportsystem Avløp - Input g'!C53*2/3</f>
        <v>0</v>
      </c>
      <c r="J52" s="113">
        <f>'Ledningsnett - faktorer'!I4*'Ledningsnett - faktorer'!$D$48*'Transportsystem Avløp - Input g'!C53*1/2</f>
        <v>0</v>
      </c>
      <c r="K52" s="86">
        <f>'Ledningsnett - faktorer'!C11*'Ledningsnett - faktorer'!$D$48*'Transportsystem Avløp - Input g'!C53*2/3</f>
        <v>0</v>
      </c>
      <c r="L52" s="87">
        <f>'Ledningsnett - faktorer'!I11*'Ledningsnett - faktorer'!$D$48*'Transportsystem Avløp - Input g'!C53*1/2</f>
        <v>0</v>
      </c>
      <c r="M52" s="89">
        <f>SUM(I52:L52)</f>
        <v>0</v>
      </c>
    </row>
    <row r="53" spans="1:13" x14ac:dyDescent="0.3">
      <c r="A53" s="15" t="s">
        <v>339</v>
      </c>
      <c r="B53" s="86">
        <f>'Ledningsnett - faktorer'!C5*'Ledningsnett - faktorer'!$D$48*'Transportsystemer - Ressursfane'!D64*1/3</f>
        <v>0</v>
      </c>
      <c r="C53" s="87">
        <f>'Ledningsnett - faktorer'!I5*'Ledningsnett - faktorer'!$D$48*'Transportsystemer - Ressursfane'!D64*1/2</f>
        <v>0</v>
      </c>
      <c r="D53" s="87">
        <f>'Ledningsnett - faktorer'!I5*'Ledningsnett - faktorer'!$D$48*'Transportsystemer - Ressursfane'!D64</f>
        <v>0</v>
      </c>
      <c r="E53" s="86">
        <f>'Ledningsnett - faktorer'!C12*'Ledningsnett - faktorer'!$D$48*'Transportsystemer - Ressursfane'!D64*1/3</f>
        <v>0</v>
      </c>
      <c r="F53" s="87">
        <f>'Ledningsnett - faktorer'!I12*'Ledningsnett - faktorer'!$D$48*'Transportsystemer - Ressursfane'!D64*1/2</f>
        <v>0</v>
      </c>
      <c r="G53" s="113">
        <f>'Ledningsnett - faktorer'!J12*'Ledningsnett - faktorer'!$D$48*'Transportsystemer - Ressursfane'!D64</f>
        <v>0</v>
      </c>
      <c r="H53" s="89">
        <f>SUM(B53:G53)</f>
        <v>0</v>
      </c>
      <c r="I53" s="86">
        <f>'Ledningsnett - faktorer'!C5*'Ledningsnett - faktorer'!$D$48*'Transportsystem Avløp - Input g'!C53*2/3</f>
        <v>0</v>
      </c>
      <c r="J53" s="113">
        <f>'Ledningsnett - faktorer'!I5*'Ledningsnett - faktorer'!$D$48*'Transportsystem Avløp - Input g'!C53*1/2</f>
        <v>0</v>
      </c>
      <c r="K53" s="86">
        <f>'Ledningsnett - faktorer'!C12*'Ledningsnett - faktorer'!$D$48*'Transportsystem Avløp - Input g'!C53*2/3</f>
        <v>0</v>
      </c>
      <c r="L53" s="87">
        <f>'Ledningsnett - faktorer'!I12*'Ledningsnett - faktorer'!$D$48*'Transportsystem Avløp - Input g'!C53*1/2</f>
        <v>0</v>
      </c>
      <c r="M53" s="89">
        <f>SUM(I53:L53)</f>
        <v>0</v>
      </c>
    </row>
    <row r="54" spans="1:13" x14ac:dyDescent="0.3">
      <c r="A54" s="15" t="s">
        <v>13</v>
      </c>
      <c r="B54" s="86">
        <f>'Ledningsnett - faktorer'!C6*'Ledningsnett - faktorer'!$D$48*'Transportsystemer - Ressursfane'!D64*1/3</f>
        <v>0</v>
      </c>
      <c r="C54" s="87">
        <f>'Ledningsnett - faktorer'!I6*'Ledningsnett - faktorer'!$D$48*'Transportsystemer - Ressursfane'!D64*1/2</f>
        <v>0</v>
      </c>
      <c r="D54" s="213">
        <f>'Ledningsnett - faktorer'!I6*'Ledningsnett - faktorer'!$D$48*'Transportsystemer - Ressursfane'!D64</f>
        <v>0</v>
      </c>
      <c r="E54" s="86">
        <f>'Ledningsnett - faktorer'!C13*'Ledningsnett - faktorer'!$D$48*'Transportsystemer - Ressursfane'!D64*1/3</f>
        <v>0</v>
      </c>
      <c r="F54" s="87">
        <f>'Ledningsnett - faktorer'!I13*'Ledningsnett - faktorer'!$D$48*'Transportsystemer - Ressursfane'!D64*1/2</f>
        <v>0</v>
      </c>
      <c r="G54" s="113">
        <f>'Ledningsnett - faktorer'!J13*'Ledningsnett - faktorer'!$D$48*'Transportsystemer - Ressursfane'!D64</f>
        <v>0</v>
      </c>
      <c r="H54" s="89">
        <f>SUM(B54:G54)</f>
        <v>0</v>
      </c>
      <c r="I54" s="86">
        <f>'Ledningsnett - faktorer'!C6*'Ledningsnett - faktorer'!$D$48*'Transportsystem Avløp - Input g'!C53*2/3</f>
        <v>0</v>
      </c>
      <c r="J54" s="113">
        <f>'Ledningsnett - faktorer'!I6*'Ledningsnett - faktorer'!$D$48*'Transportsystem Avløp - Input g'!C53*1/2</f>
        <v>0</v>
      </c>
      <c r="K54" s="86">
        <f>'Ledningsnett - faktorer'!C13*'Ledningsnett - faktorer'!$D$48*'Transportsystem Avløp - Input g'!C53*2/3</f>
        <v>0</v>
      </c>
      <c r="L54" s="87">
        <f>'Ledningsnett - faktorer'!I13*'Ledningsnett - faktorer'!$D$48*'Transportsystem Avløp - Input g'!C53*1/2</f>
        <v>0</v>
      </c>
      <c r="M54" s="89">
        <f>SUM(I54:L54)</f>
        <v>0</v>
      </c>
    </row>
    <row r="55" spans="1:13" ht="15" thickBot="1" x14ac:dyDescent="0.35">
      <c r="A55" s="74" t="s">
        <v>336</v>
      </c>
      <c r="B55" s="171">
        <f>SUM(B52:B54)</f>
        <v>0</v>
      </c>
      <c r="C55" s="172">
        <f t="shared" ref="C55" si="12">SUM(C52:C54)</f>
        <v>0</v>
      </c>
      <c r="D55" s="214">
        <f t="shared" ref="D55" si="13">SUM(D52:D54)</f>
        <v>0</v>
      </c>
      <c r="E55" s="171">
        <f>SUM(E52:E54)</f>
        <v>0</v>
      </c>
      <c r="F55" s="172">
        <f>SUM(F52:F54)</f>
        <v>0</v>
      </c>
      <c r="G55" s="181">
        <f>SUM(G52:G54)</f>
        <v>0</v>
      </c>
      <c r="H55" s="182">
        <f>SUM(H52:H54)</f>
        <v>0</v>
      </c>
      <c r="I55" s="171">
        <f>SUM(I52:I54)</f>
        <v>0</v>
      </c>
      <c r="J55" s="181">
        <f t="shared" ref="J55:L55" si="14">SUM(J52:J54)</f>
        <v>0</v>
      </c>
      <c r="K55" s="171">
        <f t="shared" si="14"/>
        <v>0</v>
      </c>
      <c r="L55" s="172">
        <f t="shared" si="14"/>
        <v>0</v>
      </c>
      <c r="M55" s="182">
        <f>SUM(M52:M54)</f>
        <v>0</v>
      </c>
    </row>
    <row r="56" spans="1:13" ht="15" thickBot="1" x14ac:dyDescent="0.35"/>
    <row r="57" spans="1:13" x14ac:dyDescent="0.3">
      <c r="A57" s="73" t="s">
        <v>357</v>
      </c>
      <c r="B57" s="106" t="s">
        <v>508</v>
      </c>
      <c r="C57" s="106" t="s">
        <v>514</v>
      </c>
    </row>
    <row r="58" spans="1:13" x14ac:dyDescent="0.3">
      <c r="A58" s="15" t="s">
        <v>3</v>
      </c>
      <c r="B58" s="90">
        <f>'Ledningsnett - faktorer'!J31*'Ledningsnett - faktorer'!$D$48</f>
        <v>0</v>
      </c>
      <c r="C58" s="90">
        <f>'Ledningsnett - faktorer'!T31*'Ledningsnett - faktorer'!$D$48</f>
        <v>0</v>
      </c>
    </row>
    <row r="59" spans="1:13" x14ac:dyDescent="0.3">
      <c r="A59" s="15" t="s">
        <v>7</v>
      </c>
      <c r="B59" s="90">
        <f>'Ledningsnett - faktorer'!J32*'Ledningsnett - faktorer'!$D$48</f>
        <v>0</v>
      </c>
      <c r="C59" s="90">
        <f>'Ledningsnett - faktorer'!T32*'Ledningsnett - faktorer'!$D$48</f>
        <v>0</v>
      </c>
    </row>
    <row r="60" spans="1:13" x14ac:dyDescent="0.3">
      <c r="A60" s="15" t="s">
        <v>8</v>
      </c>
      <c r="B60" s="90">
        <f>'Ledningsnett - faktorer'!J33*'Ledningsnett - faktorer'!$D$48</f>
        <v>0</v>
      </c>
      <c r="C60" s="90">
        <f>'Ledningsnett - faktorer'!T33*'Ledningsnett - faktorer'!$D$48</f>
        <v>0</v>
      </c>
    </row>
    <row r="61" spans="1:13" x14ac:dyDescent="0.3">
      <c r="A61" s="15" t="s">
        <v>5</v>
      </c>
      <c r="B61" s="90">
        <f>'Ledningsnett - faktorer'!J34*'Ledningsnett - faktorer'!$D$48</f>
        <v>0</v>
      </c>
      <c r="C61" s="90">
        <f>'Ledningsnett - faktorer'!T34*'Ledningsnett - faktorer'!$D$48</f>
        <v>0</v>
      </c>
    </row>
    <row r="62" spans="1:13" x14ac:dyDescent="0.3">
      <c r="A62" s="15" t="s">
        <v>6</v>
      </c>
      <c r="B62" s="90">
        <f>'Ledningsnett - faktorer'!J35*'Ledningsnett - faktorer'!$D$48</f>
        <v>0</v>
      </c>
      <c r="C62" s="90">
        <f>'Ledningsnett - faktorer'!T35*'Ledningsnett - faktorer'!$D$48</f>
        <v>0</v>
      </c>
    </row>
    <row r="63" spans="1:13" x14ac:dyDescent="0.3">
      <c r="A63" s="15" t="s">
        <v>9</v>
      </c>
      <c r="B63" s="90" t="e">
        <f>'Ledningsnett - faktorer'!J36*'Ledningsnett - faktorer'!$D$48</f>
        <v>#VALUE!</v>
      </c>
      <c r="C63" s="90">
        <f>'Ledningsnett - faktorer'!T36*'Ledningsnett - faktorer'!$D$48</f>
        <v>0</v>
      </c>
    </row>
    <row r="64" spans="1:13" x14ac:dyDescent="0.3">
      <c r="A64" s="15" t="s">
        <v>553</v>
      </c>
      <c r="B64" s="90" t="e">
        <f>'Ledningsnett - faktorer'!J37*'Ledningsnett - faktorer'!$D$48</f>
        <v>#VALUE!</v>
      </c>
      <c r="C64" s="90">
        <f>'Ledningsnett - faktorer'!T37*'Ledningsnett - faktorer'!$D$48</f>
        <v>0</v>
      </c>
    </row>
    <row r="65" spans="1:9" ht="15" thickBot="1" x14ac:dyDescent="0.35">
      <c r="A65" s="74" t="s">
        <v>336</v>
      </c>
      <c r="B65" s="91" t="e">
        <f>SUM(B58:B64)</f>
        <v>#VALUE!</v>
      </c>
      <c r="C65" s="91">
        <f>SUM(C58:C64)</f>
        <v>0</v>
      </c>
    </row>
    <row r="67" spans="1:9" x14ac:dyDescent="0.3">
      <c r="A67" s="98" t="s">
        <v>375</v>
      </c>
      <c r="D67" s="98" t="s">
        <v>381</v>
      </c>
      <c r="I67" s="98" t="s">
        <v>248</v>
      </c>
    </row>
    <row r="68" spans="1:9" x14ac:dyDescent="0.3">
      <c r="A68" s="98" t="s">
        <v>332</v>
      </c>
    </row>
  </sheetData>
  <mergeCells count="21">
    <mergeCell ref="I50:J50"/>
    <mergeCell ref="B14:D14"/>
    <mergeCell ref="E14:G14"/>
    <mergeCell ref="I21:J21"/>
    <mergeCell ref="E21:G21"/>
    <mergeCell ref="E28:G28"/>
    <mergeCell ref="E33:G33"/>
    <mergeCell ref="B21:D21"/>
    <mergeCell ref="B28:D28"/>
    <mergeCell ref="B33:D33"/>
    <mergeCell ref="B50:D50"/>
    <mergeCell ref="E50:G50"/>
    <mergeCell ref="D38:E38"/>
    <mergeCell ref="B38:C38"/>
    <mergeCell ref="I14:J14"/>
    <mergeCell ref="P38:R38"/>
    <mergeCell ref="F38:G38"/>
    <mergeCell ref="H38:I38"/>
    <mergeCell ref="J38:K38"/>
    <mergeCell ref="N38:O38"/>
    <mergeCell ref="L38:M38"/>
  </mergeCells>
  <hyperlinks>
    <hyperlink ref="A67" location="Innledning!A1" display="Tilbake til forside" xr:uid="{00000000-0004-0000-0600-000000000000}"/>
    <hyperlink ref="D67" location="Sammendrag!A1" display="Sammendrag" xr:uid="{00000000-0004-0000-0600-000001000000}"/>
    <hyperlink ref="I67" location="'Avløpsbehandling - Input'!A1" display="Avløpsbehandling" xr:uid="{00000000-0004-0000-0600-000002000000}"/>
    <hyperlink ref="A68" location="'Ledningsnett - faktorer'!A1" display="Utslippsfaktorer" xr:uid="{00000000-0004-0000-0600-000003000000}"/>
  </hyperlinks>
  <pageMargins left="0.7" right="0.7" top="0.75" bottom="0.75" header="0.3" footer="0.3"/>
  <pageSetup paperSize="9" orientation="portrait" horizontalDpi="4294967293"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6">
    <tabColor theme="5"/>
  </sheetPr>
  <dimension ref="A1:W64"/>
  <sheetViews>
    <sheetView workbookViewId="0"/>
  </sheetViews>
  <sheetFormatPr baseColWidth="10" defaultColWidth="11.5546875" defaultRowHeight="14.4" x14ac:dyDescent="0.3"/>
  <cols>
    <col min="1" max="1" width="58.33203125" style="16" bestFit="1" customWidth="1"/>
    <col min="2" max="2" width="25" style="16" bestFit="1" customWidth="1"/>
    <col min="3" max="3" width="14" style="16" bestFit="1" customWidth="1"/>
    <col min="4" max="4" width="15.6640625" style="16" bestFit="1" customWidth="1"/>
    <col min="5" max="5" width="14" style="16" bestFit="1" customWidth="1"/>
    <col min="6" max="6" width="14.44140625" style="16" bestFit="1" customWidth="1"/>
    <col min="7" max="22" width="11.5546875" style="16"/>
    <col min="23" max="23" width="42.6640625" style="16" customWidth="1"/>
    <col min="24" max="16384" width="11.5546875" style="16"/>
  </cols>
  <sheetData>
    <row r="1" spans="1:23" ht="23.4" x14ac:dyDescent="0.45">
      <c r="A1" s="93" t="s">
        <v>643</v>
      </c>
    </row>
    <row r="2" spans="1:23" ht="15" thickBot="1" x14ac:dyDescent="0.35"/>
    <row r="3" spans="1:23" ht="15.75" customHeight="1" thickBot="1" x14ac:dyDescent="0.35">
      <c r="R3" s="1248" t="s">
        <v>632</v>
      </c>
      <c r="S3" s="1249"/>
      <c r="T3" s="1249"/>
      <c r="U3" s="1249"/>
      <c r="V3" s="1249"/>
      <c r="W3" s="1250"/>
    </row>
    <row r="4" spans="1:23" ht="15.6" x14ac:dyDescent="0.3">
      <c r="A4" s="30" t="s">
        <v>631</v>
      </c>
      <c r="B4" s="31"/>
      <c r="C4" s="25"/>
      <c r="R4" s="1251"/>
      <c r="S4" s="1252"/>
      <c r="T4" s="1252"/>
      <c r="U4" s="1252"/>
      <c r="V4" s="1252"/>
      <c r="W4" s="1253"/>
    </row>
    <row r="5" spans="1:23" x14ac:dyDescent="0.3">
      <c r="A5" s="15" t="s">
        <v>627</v>
      </c>
      <c r="B5" s="41">
        <v>10000</v>
      </c>
      <c r="C5" s="18" t="s">
        <v>387</v>
      </c>
      <c r="R5" s="1251"/>
      <c r="S5" s="1252"/>
      <c r="T5" s="1252"/>
      <c r="U5" s="1252"/>
      <c r="V5" s="1252"/>
      <c r="W5" s="1253"/>
    </row>
    <row r="6" spans="1:23" x14ac:dyDescent="0.3">
      <c r="A6" s="15" t="s">
        <v>628</v>
      </c>
      <c r="B6" s="41">
        <v>1</v>
      </c>
      <c r="C6" s="18" t="s">
        <v>387</v>
      </c>
      <c r="R6" s="1251"/>
      <c r="S6" s="1252"/>
      <c r="T6" s="1252"/>
      <c r="U6" s="1252"/>
      <c r="V6" s="1252"/>
      <c r="W6" s="1253"/>
    </row>
    <row r="7" spans="1:23" x14ac:dyDescent="0.3">
      <c r="A7" s="15" t="s">
        <v>629</v>
      </c>
      <c r="B7" s="41">
        <v>10000</v>
      </c>
      <c r="C7" s="18" t="s">
        <v>387</v>
      </c>
      <c r="D7" s="16" t="s">
        <v>644</v>
      </c>
      <c r="R7" s="1251"/>
      <c r="S7" s="1252"/>
      <c r="T7" s="1252"/>
      <c r="U7" s="1252"/>
      <c r="V7" s="1252"/>
      <c r="W7" s="1253"/>
    </row>
    <row r="8" spans="1:23" ht="15" thickBot="1" x14ac:dyDescent="0.35">
      <c r="A8" s="27" t="s">
        <v>630</v>
      </c>
      <c r="B8" s="42">
        <v>0</v>
      </c>
      <c r="C8" s="36" t="s">
        <v>387</v>
      </c>
      <c r="R8" s="1251"/>
      <c r="S8" s="1252"/>
      <c r="T8" s="1252"/>
      <c r="U8" s="1252"/>
      <c r="V8" s="1252"/>
      <c r="W8" s="1253"/>
    </row>
    <row r="9" spans="1:23" ht="15" thickBot="1" x14ac:dyDescent="0.35">
      <c r="R9" s="1251"/>
      <c r="S9" s="1252"/>
      <c r="T9" s="1252"/>
      <c r="U9" s="1252"/>
      <c r="V9" s="1252"/>
      <c r="W9" s="1253"/>
    </row>
    <row r="10" spans="1:23" ht="15.6" x14ac:dyDescent="0.3">
      <c r="A10" s="30" t="s">
        <v>244</v>
      </c>
      <c r="B10" s="31"/>
      <c r="C10" s="25"/>
      <c r="D10" s="14" t="str">
        <f>IF(B11="Annet","%BOF fjernet","")</f>
        <v/>
      </c>
      <c r="E10" s="14" t="str">
        <f>IF(B11="Annet","MCF faktor","")</f>
        <v/>
      </c>
      <c r="R10" s="1251"/>
      <c r="S10" s="1252"/>
      <c r="T10" s="1252"/>
      <c r="U10" s="1252"/>
      <c r="V10" s="1252"/>
      <c r="W10" s="1253"/>
    </row>
    <row r="11" spans="1:23" x14ac:dyDescent="0.3">
      <c r="A11" s="15" t="s">
        <v>186</v>
      </c>
      <c r="B11" s="43" t="s">
        <v>241</v>
      </c>
      <c r="C11" s="18"/>
      <c r="D11" s="54"/>
      <c r="R11" s="1251"/>
      <c r="S11" s="1252"/>
      <c r="T11" s="1252"/>
      <c r="U11" s="1252"/>
      <c r="V11" s="1252"/>
      <c r="W11" s="1253"/>
    </row>
    <row r="12" spans="1:23" x14ac:dyDescent="0.3">
      <c r="A12" s="15" t="s">
        <v>368</v>
      </c>
      <c r="B12" s="43" t="s">
        <v>196</v>
      </c>
      <c r="C12" s="18"/>
      <c r="D12" s="1246" t="str">
        <f>IF(B11="Annet","For mer informasjon, se fanen 'Konstanter CH4 og N₂O' eller les veileder for Klimagassutslipp i vannbransjen","")</f>
        <v/>
      </c>
      <c r="E12" s="1247"/>
      <c r="R12" s="1251"/>
      <c r="S12" s="1252"/>
      <c r="T12" s="1252"/>
      <c r="U12" s="1252"/>
      <c r="V12" s="1252"/>
      <c r="W12" s="1253"/>
    </row>
    <row r="13" spans="1:23" x14ac:dyDescent="0.3">
      <c r="A13" s="15" t="s">
        <v>519</v>
      </c>
      <c r="B13" s="43" t="s">
        <v>196</v>
      </c>
      <c r="C13" s="18"/>
      <c r="D13" s="1246"/>
      <c r="E13" s="1247"/>
      <c r="R13" s="1251"/>
      <c r="S13" s="1252"/>
      <c r="T13" s="1252"/>
      <c r="U13" s="1252"/>
      <c r="V13" s="1252"/>
      <c r="W13" s="1253"/>
    </row>
    <row r="14" spans="1:23" x14ac:dyDescent="0.3">
      <c r="A14" s="15" t="s">
        <v>231</v>
      </c>
      <c r="B14" s="41"/>
      <c r="C14" s="18" t="s">
        <v>232</v>
      </c>
      <c r="D14" s="1246"/>
      <c r="E14" s="1247"/>
      <c r="R14" s="1251"/>
      <c r="S14" s="1252"/>
      <c r="T14" s="1252"/>
      <c r="U14" s="1252"/>
      <c r="V14" s="1252"/>
      <c r="W14" s="1253"/>
    </row>
    <row r="15" spans="1:23" ht="15" thickBot="1" x14ac:dyDescent="0.35">
      <c r="A15" s="27" t="s">
        <v>233</v>
      </c>
      <c r="B15" s="42">
        <v>1000000</v>
      </c>
      <c r="C15" s="36" t="s">
        <v>234</v>
      </c>
      <c r="D15" s="1246"/>
      <c r="E15" s="1247"/>
      <c r="R15" s="1251"/>
      <c r="S15" s="1252"/>
      <c r="T15" s="1252"/>
      <c r="U15" s="1252"/>
      <c r="V15" s="1252"/>
      <c r="W15" s="1253"/>
    </row>
    <row r="16" spans="1:23" ht="15" thickBot="1" x14ac:dyDescent="0.35">
      <c r="R16" s="1251"/>
      <c r="S16" s="1252"/>
      <c r="T16" s="1252"/>
      <c r="U16" s="1252"/>
      <c r="V16" s="1252"/>
      <c r="W16" s="1253"/>
    </row>
    <row r="17" spans="1:23" x14ac:dyDescent="0.3">
      <c r="A17" s="51" t="s">
        <v>242</v>
      </c>
      <c r="B17" s="45" t="s">
        <v>587</v>
      </c>
      <c r="C17" s="31"/>
      <c r="D17" s="52" t="s">
        <v>245</v>
      </c>
      <c r="E17" s="50"/>
      <c r="F17" s="46" t="s">
        <v>277</v>
      </c>
      <c r="R17" s="1251"/>
      <c r="S17" s="1252"/>
      <c r="T17" s="1252"/>
      <c r="U17" s="1252"/>
      <c r="V17" s="1252"/>
      <c r="W17" s="1253"/>
    </row>
    <row r="18" spans="1:23" ht="15.6" x14ac:dyDescent="0.35">
      <c r="A18" s="15" t="s">
        <v>581</v>
      </c>
      <c r="B18" s="16">
        <f>BOD_per_pers/1000*pers_avlopsbehandling*dager</f>
        <v>219000</v>
      </c>
      <c r="C18" s="16" t="s">
        <v>187</v>
      </c>
      <c r="D18" s="47"/>
      <c r="E18" s="23" t="s">
        <v>187</v>
      </c>
      <c r="F18" s="18">
        <f>IF(D18=0,B18,D18)</f>
        <v>219000</v>
      </c>
      <c r="R18" s="1251"/>
      <c r="S18" s="1252"/>
      <c r="T18" s="1252"/>
      <c r="U18" s="1252"/>
      <c r="V18" s="1252"/>
      <c r="W18" s="1253"/>
    </row>
    <row r="19" spans="1:23" ht="15.6" x14ac:dyDescent="0.35">
      <c r="A19" s="15" t="s">
        <v>582</v>
      </c>
      <c r="B19" s="16">
        <f>BOD_innlop*0.1</f>
        <v>21900</v>
      </c>
      <c r="C19" s="16" t="s">
        <v>187</v>
      </c>
      <c r="D19" s="47"/>
      <c r="E19" s="23" t="s">
        <v>187</v>
      </c>
      <c r="F19" s="18">
        <f>IF(D19=0,B19,D19)</f>
        <v>21900</v>
      </c>
      <c r="R19" s="1251"/>
      <c r="S19" s="1252"/>
      <c r="T19" s="1252"/>
      <c r="U19" s="1252"/>
      <c r="V19" s="1252"/>
      <c r="W19" s="1253"/>
    </row>
    <row r="20" spans="1:23" ht="16.2" thickBot="1" x14ac:dyDescent="0.4">
      <c r="A20" s="27" t="s">
        <v>583</v>
      </c>
      <c r="B20" s="40">
        <f>BOD_innlop*VLOOKUP('Avløpsbehandling - CH4&amp;N2O g'!B11,'Konstanter CH4ogN2O'!D5:F17,2,FALSE)</f>
        <v>0</v>
      </c>
      <c r="C20" s="40" t="s">
        <v>187</v>
      </c>
      <c r="D20" s="48"/>
      <c r="E20" s="49" t="s">
        <v>187</v>
      </c>
      <c r="F20" s="36">
        <f>IF(D20=0,B20,D20)</f>
        <v>0</v>
      </c>
      <c r="R20" s="1251"/>
      <c r="S20" s="1252"/>
      <c r="T20" s="1252"/>
      <c r="U20" s="1252"/>
      <c r="V20" s="1252"/>
      <c r="W20" s="1253"/>
    </row>
    <row r="21" spans="1:23" x14ac:dyDescent="0.3">
      <c r="R21" s="1251"/>
      <c r="S21" s="1252"/>
      <c r="T21" s="1252"/>
      <c r="U21" s="1252"/>
      <c r="V21" s="1252"/>
      <c r="W21" s="1253"/>
    </row>
    <row r="22" spans="1:23" ht="16.2" thickBot="1" x14ac:dyDescent="0.35">
      <c r="A22" s="24" t="s">
        <v>243</v>
      </c>
      <c r="R22" s="1251"/>
      <c r="S22" s="1252"/>
      <c r="T22" s="1252"/>
      <c r="U22" s="1252"/>
      <c r="V22" s="1252"/>
      <c r="W22" s="1253"/>
    </row>
    <row r="23" spans="1:23" x14ac:dyDescent="0.3">
      <c r="A23" s="44" t="s">
        <v>180</v>
      </c>
      <c r="B23" s="45" t="s">
        <v>587</v>
      </c>
      <c r="C23" s="31"/>
      <c r="D23" s="52" t="s">
        <v>245</v>
      </c>
      <c r="E23" s="31"/>
      <c r="F23" s="75" t="s">
        <v>277</v>
      </c>
      <c r="R23" s="1251"/>
      <c r="S23" s="1252"/>
      <c r="T23" s="1252"/>
      <c r="U23" s="1252"/>
      <c r="V23" s="1252"/>
      <c r="W23" s="1253"/>
    </row>
    <row r="24" spans="1:23" x14ac:dyDescent="0.3">
      <c r="A24" s="15" t="s">
        <v>177</v>
      </c>
      <c r="B24" s="16">
        <f>(pers_avlopsbehandling)*BOD_per_pers*VS_per_BOD*N_per_VS/1000*dager</f>
        <v>70080</v>
      </c>
      <c r="C24" s="16" t="s">
        <v>184</v>
      </c>
      <c r="D24" s="47"/>
      <c r="E24" s="16" t="s">
        <v>184</v>
      </c>
      <c r="F24" s="177">
        <f>IF(D24=0,B24,D24)</f>
        <v>70080</v>
      </c>
      <c r="R24" s="1251"/>
      <c r="S24" s="1252"/>
      <c r="T24" s="1252"/>
      <c r="U24" s="1252"/>
      <c r="V24" s="1252"/>
      <c r="W24" s="1253"/>
    </row>
    <row r="25" spans="1:23" x14ac:dyDescent="0.3">
      <c r="A25" s="15" t="s">
        <v>603</v>
      </c>
      <c r="B25" s="16">
        <f>IF(bio_valorisert="Nei",bio_prod,0)</f>
        <v>0</v>
      </c>
      <c r="C25" s="16" t="s">
        <v>184</v>
      </c>
      <c r="D25" s="47"/>
      <c r="E25" s="16" t="s">
        <v>184</v>
      </c>
      <c r="F25" s="177">
        <f>IF(D25=0,B25,D25)</f>
        <v>0</v>
      </c>
      <c r="R25" s="1251"/>
      <c r="S25" s="1252"/>
      <c r="T25" s="1252"/>
      <c r="U25" s="1252"/>
      <c r="V25" s="1252"/>
      <c r="W25" s="1253"/>
    </row>
    <row r="26" spans="1:23" x14ac:dyDescent="0.3">
      <c r="A26" s="15" t="s">
        <v>522</v>
      </c>
      <c r="B26" s="16">
        <f>bio_prod-bio_brukt</f>
        <v>70080</v>
      </c>
      <c r="C26" s="16" t="s">
        <v>184</v>
      </c>
      <c r="D26" s="47"/>
      <c r="E26" s="16" t="s">
        <v>184</v>
      </c>
      <c r="F26" s="177">
        <f>IF(D26=0,B26,D26)</f>
        <v>70080</v>
      </c>
      <c r="R26" s="1251"/>
      <c r="S26" s="1252"/>
      <c r="T26" s="1252"/>
      <c r="U26" s="1252"/>
      <c r="V26" s="1252"/>
      <c r="W26" s="1253"/>
    </row>
    <row r="27" spans="1:23" ht="15" thickBot="1" x14ac:dyDescent="0.35">
      <c r="A27" s="27" t="s">
        <v>523</v>
      </c>
      <c r="B27" s="40">
        <v>0</v>
      </c>
      <c r="C27" s="40" t="s">
        <v>184</v>
      </c>
      <c r="D27" s="48"/>
      <c r="E27" s="40" t="s">
        <v>184</v>
      </c>
      <c r="F27" s="58">
        <f>IF(D27=0,B27,D27)</f>
        <v>0</v>
      </c>
      <c r="R27" s="1251"/>
      <c r="S27" s="1252"/>
      <c r="T27" s="1252"/>
      <c r="U27" s="1252"/>
      <c r="V27" s="1252"/>
      <c r="W27" s="1253"/>
    </row>
    <row r="28" spans="1:23" x14ac:dyDescent="0.3">
      <c r="R28" s="1251"/>
      <c r="S28" s="1252"/>
      <c r="T28" s="1252"/>
      <c r="U28" s="1252"/>
      <c r="V28" s="1252"/>
      <c r="W28" s="1253"/>
    </row>
    <row r="29" spans="1:23" ht="16.2" thickBot="1" x14ac:dyDescent="0.35">
      <c r="A29" s="24" t="s">
        <v>205</v>
      </c>
      <c r="R29" s="1251"/>
      <c r="S29" s="1252"/>
      <c r="T29" s="1252"/>
      <c r="U29" s="1252"/>
      <c r="V29" s="1252"/>
      <c r="W29" s="1253"/>
    </row>
    <row r="30" spans="1:23" x14ac:dyDescent="0.3">
      <c r="A30" s="216" t="s">
        <v>580</v>
      </c>
      <c r="B30" s="59" t="s">
        <v>239</v>
      </c>
      <c r="C30" s="31"/>
      <c r="D30" s="52" t="s">
        <v>245</v>
      </c>
      <c r="E30" s="50"/>
      <c r="F30" s="46" t="s">
        <v>277</v>
      </c>
      <c r="R30" s="1251"/>
      <c r="S30" s="1252"/>
      <c r="T30" s="1252"/>
      <c r="U30" s="1252"/>
      <c r="V30" s="1252"/>
      <c r="W30" s="1253"/>
    </row>
    <row r="31" spans="1:23" x14ac:dyDescent="0.3">
      <c r="A31" s="15" t="s">
        <v>524</v>
      </c>
      <c r="B31" s="16">
        <v>5</v>
      </c>
      <c r="C31" s="16" t="s">
        <v>198</v>
      </c>
      <c r="D31" s="47"/>
      <c r="E31" s="23" t="s">
        <v>198</v>
      </c>
      <c r="F31" s="18">
        <f>IF(D31=0,B31,D31)</f>
        <v>5</v>
      </c>
      <c r="R31" s="1251"/>
      <c r="S31" s="1252"/>
      <c r="T31" s="1252"/>
      <c r="U31" s="1252"/>
      <c r="V31" s="1252"/>
      <c r="W31" s="1253"/>
    </row>
    <row r="32" spans="1:23" ht="15" thickBot="1" x14ac:dyDescent="0.35">
      <c r="A32" s="27" t="s">
        <v>253</v>
      </c>
      <c r="B32" s="40">
        <v>25</v>
      </c>
      <c r="C32" s="40"/>
      <c r="D32" s="48"/>
      <c r="E32" s="49"/>
      <c r="F32" s="36">
        <f>IF(D32=0,B32,D32)</f>
        <v>25</v>
      </c>
      <c r="R32" s="1251"/>
      <c r="S32" s="1252"/>
      <c r="T32" s="1252"/>
      <c r="U32" s="1252"/>
      <c r="V32" s="1252"/>
      <c r="W32" s="1253"/>
    </row>
    <row r="33" spans="1:23" x14ac:dyDescent="0.3">
      <c r="R33" s="1251"/>
      <c r="S33" s="1252"/>
      <c r="T33" s="1252"/>
      <c r="U33" s="1252"/>
      <c r="V33" s="1252"/>
      <c r="W33" s="1253"/>
    </row>
    <row r="34" spans="1:23" ht="15" thickBot="1" x14ac:dyDescent="0.35">
      <c r="A34" s="14"/>
      <c r="R34" s="1251"/>
      <c r="S34" s="1252"/>
      <c r="T34" s="1252"/>
      <c r="U34" s="1252"/>
      <c r="V34" s="1252"/>
      <c r="W34" s="1253"/>
    </row>
    <row r="35" spans="1:23" x14ac:dyDescent="0.3">
      <c r="A35" s="17" t="s">
        <v>191</v>
      </c>
      <c r="B35" s="38" t="s">
        <v>587</v>
      </c>
      <c r="C35" s="20"/>
      <c r="D35" s="38" t="s">
        <v>245</v>
      </c>
      <c r="E35" s="50"/>
      <c r="F35" s="39" t="s">
        <v>277</v>
      </c>
      <c r="R35" s="1251"/>
      <c r="S35" s="1252"/>
      <c r="T35" s="1252"/>
      <c r="U35" s="1252"/>
      <c r="V35" s="1252"/>
      <c r="W35" s="1253"/>
    </row>
    <row r="36" spans="1:23" x14ac:dyDescent="0.3">
      <c r="A36" s="60" t="s">
        <v>369</v>
      </c>
      <c r="B36" s="61">
        <f>BOD_per_pers*0.001*pers_avlopsbehandling*dager*Slam_VSS_BOD*TSS_VSS_slam*(1-0.1)*IF(har_slamfordoyer="Ja",0.6,1)</f>
        <v>76490.567999999999</v>
      </c>
      <c r="C36" s="22" t="s">
        <v>192</v>
      </c>
      <c r="D36" s="190"/>
      <c r="E36" s="22" t="s">
        <v>192</v>
      </c>
      <c r="F36" s="99">
        <f>IF(D36=0,B36,D36)</f>
        <v>76490.567999999999</v>
      </c>
      <c r="R36" s="1251"/>
      <c r="S36" s="1252"/>
      <c r="T36" s="1252"/>
      <c r="U36" s="1252"/>
      <c r="V36" s="1252"/>
      <c r="W36" s="1253"/>
    </row>
    <row r="37" spans="1:23" x14ac:dyDescent="0.3">
      <c r="A37" s="15" t="s">
        <v>238</v>
      </c>
      <c r="B37" s="54">
        <v>0.04</v>
      </c>
      <c r="D37" s="53"/>
      <c r="E37" s="16" t="s">
        <v>315</v>
      </c>
      <c r="F37" s="55">
        <f>IF(D37=0,B37,D37)</f>
        <v>0.04</v>
      </c>
      <c r="R37" s="1251"/>
      <c r="S37" s="1252"/>
      <c r="T37" s="1252"/>
      <c r="U37" s="1252"/>
      <c r="V37" s="1252"/>
      <c r="W37" s="1253"/>
    </row>
    <row r="38" spans="1:23" ht="15" thickBot="1" x14ac:dyDescent="0.35">
      <c r="A38" s="27" t="s">
        <v>235</v>
      </c>
      <c r="B38" s="56">
        <f>vaat_slam_prod*torrstoff_slam</f>
        <v>3059.6227199999998</v>
      </c>
      <c r="C38" s="40" t="s">
        <v>187</v>
      </c>
      <c r="D38" s="57"/>
      <c r="E38" s="40"/>
      <c r="F38" s="58"/>
      <c r="R38" s="1251"/>
      <c r="S38" s="1252"/>
      <c r="T38" s="1252"/>
      <c r="U38" s="1252"/>
      <c r="V38" s="1252"/>
      <c r="W38" s="1253"/>
    </row>
    <row r="39" spans="1:23" ht="15" thickBot="1" x14ac:dyDescent="0.35">
      <c r="A39" s="15"/>
      <c r="R39" s="1251"/>
      <c r="S39" s="1252"/>
      <c r="T39" s="1252"/>
      <c r="U39" s="1252"/>
      <c r="V39" s="1252"/>
      <c r="W39" s="1253"/>
    </row>
    <row r="40" spans="1:23" x14ac:dyDescent="0.3">
      <c r="A40" s="51" t="s">
        <v>389</v>
      </c>
      <c r="B40" s="67"/>
      <c r="R40" s="1251"/>
      <c r="S40" s="1252"/>
      <c r="T40" s="1252"/>
      <c r="U40" s="1252"/>
      <c r="V40" s="1252"/>
      <c r="W40" s="1253"/>
    </row>
    <row r="41" spans="1:23" ht="15" thickBot="1" x14ac:dyDescent="0.35">
      <c r="A41" s="27" t="s">
        <v>388</v>
      </c>
      <c r="B41" s="37" t="s">
        <v>197</v>
      </c>
      <c r="R41" s="1251"/>
      <c r="S41" s="1252"/>
      <c r="T41" s="1252"/>
      <c r="U41" s="1252"/>
      <c r="V41" s="1252"/>
      <c r="W41" s="1253"/>
    </row>
    <row r="42" spans="1:23" x14ac:dyDescent="0.3">
      <c r="R42" s="1251"/>
      <c r="S42" s="1252"/>
      <c r="T42" s="1252"/>
      <c r="U42" s="1252"/>
      <c r="V42" s="1252"/>
      <c r="W42" s="1253"/>
    </row>
    <row r="43" spans="1:23" x14ac:dyDescent="0.3">
      <c r="A43" s="98" t="s">
        <v>375</v>
      </c>
      <c r="B43" s="98" t="s">
        <v>381</v>
      </c>
      <c r="F43" s="98" t="s">
        <v>370</v>
      </c>
      <c r="R43" s="1251"/>
      <c r="S43" s="1252"/>
      <c r="T43" s="1252"/>
      <c r="U43" s="1252"/>
      <c r="V43" s="1252"/>
      <c r="W43" s="1253"/>
    </row>
    <row r="44" spans="1:23" x14ac:dyDescent="0.3">
      <c r="A44" s="98" t="s">
        <v>332</v>
      </c>
      <c r="R44" s="1251"/>
      <c r="S44" s="1252"/>
      <c r="T44" s="1252"/>
      <c r="U44" s="1252"/>
      <c r="V44" s="1252"/>
      <c r="W44" s="1253"/>
    </row>
    <row r="45" spans="1:23" x14ac:dyDescent="0.3">
      <c r="R45" s="1251"/>
      <c r="S45" s="1252"/>
      <c r="T45" s="1252"/>
      <c r="U45" s="1252"/>
      <c r="V45" s="1252"/>
      <c r="W45" s="1253"/>
    </row>
    <row r="46" spans="1:23" ht="15" customHeight="1" x14ac:dyDescent="0.3">
      <c r="R46" s="1251"/>
      <c r="S46" s="1252"/>
      <c r="T46" s="1252"/>
      <c r="U46" s="1252"/>
      <c r="V46" s="1252"/>
      <c r="W46" s="1253"/>
    </row>
    <row r="47" spans="1:23" x14ac:dyDescent="0.3">
      <c r="R47" s="1251"/>
      <c r="S47" s="1252"/>
      <c r="T47" s="1252"/>
      <c r="U47" s="1252"/>
      <c r="V47" s="1252"/>
      <c r="W47" s="1253"/>
    </row>
    <row r="48" spans="1:23" x14ac:dyDescent="0.3">
      <c r="R48" s="1251"/>
      <c r="S48" s="1252"/>
      <c r="T48" s="1252"/>
      <c r="U48" s="1252"/>
      <c r="V48" s="1252"/>
      <c r="W48" s="1253"/>
    </row>
    <row r="49" spans="18:23" x14ac:dyDescent="0.3">
      <c r="R49" s="1251"/>
      <c r="S49" s="1252"/>
      <c r="T49" s="1252"/>
      <c r="U49" s="1252"/>
      <c r="V49" s="1252"/>
      <c r="W49" s="1253"/>
    </row>
    <row r="50" spans="18:23" x14ac:dyDescent="0.3">
      <c r="R50" s="1251"/>
      <c r="S50" s="1252"/>
      <c r="T50" s="1252"/>
      <c r="U50" s="1252"/>
      <c r="V50" s="1252"/>
      <c r="W50" s="1253"/>
    </row>
    <row r="51" spans="18:23" x14ac:dyDescent="0.3">
      <c r="R51" s="1251"/>
      <c r="S51" s="1252"/>
      <c r="T51" s="1252"/>
      <c r="U51" s="1252"/>
      <c r="V51" s="1252"/>
      <c r="W51" s="1253"/>
    </row>
    <row r="52" spans="18:23" x14ac:dyDescent="0.3">
      <c r="R52" s="1251"/>
      <c r="S52" s="1252"/>
      <c r="T52" s="1252"/>
      <c r="U52" s="1252"/>
      <c r="V52" s="1252"/>
      <c r="W52" s="1253"/>
    </row>
    <row r="53" spans="18:23" x14ac:dyDescent="0.3">
      <c r="R53" s="1251"/>
      <c r="S53" s="1252"/>
      <c r="T53" s="1252"/>
      <c r="U53" s="1252"/>
      <c r="V53" s="1252"/>
      <c r="W53" s="1253"/>
    </row>
    <row r="54" spans="18:23" x14ac:dyDescent="0.3">
      <c r="R54" s="1251"/>
      <c r="S54" s="1252"/>
      <c r="T54" s="1252"/>
      <c r="U54" s="1252"/>
      <c r="V54" s="1252"/>
      <c r="W54" s="1253"/>
    </row>
    <row r="55" spans="18:23" x14ac:dyDescent="0.3">
      <c r="R55" s="1251"/>
      <c r="S55" s="1252"/>
      <c r="T55" s="1252"/>
      <c r="U55" s="1252"/>
      <c r="V55" s="1252"/>
      <c r="W55" s="1253"/>
    </row>
    <row r="56" spans="18:23" x14ac:dyDescent="0.3">
      <c r="R56" s="1251"/>
      <c r="S56" s="1252"/>
      <c r="T56" s="1252"/>
      <c r="U56" s="1252"/>
      <c r="V56" s="1252"/>
      <c r="W56" s="1253"/>
    </row>
    <row r="57" spans="18:23" x14ac:dyDescent="0.3">
      <c r="R57" s="1251"/>
      <c r="S57" s="1252"/>
      <c r="T57" s="1252"/>
      <c r="U57" s="1252"/>
      <c r="V57" s="1252"/>
      <c r="W57" s="1253"/>
    </row>
    <row r="58" spans="18:23" x14ac:dyDescent="0.3">
      <c r="R58" s="1251"/>
      <c r="S58" s="1252"/>
      <c r="T58" s="1252"/>
      <c r="U58" s="1252"/>
      <c r="V58" s="1252"/>
      <c r="W58" s="1253"/>
    </row>
    <row r="59" spans="18:23" x14ac:dyDescent="0.3">
      <c r="R59" s="1251"/>
      <c r="S59" s="1252"/>
      <c r="T59" s="1252"/>
      <c r="U59" s="1252"/>
      <c r="V59" s="1252"/>
      <c r="W59" s="1253"/>
    </row>
    <row r="60" spans="18:23" x14ac:dyDescent="0.3">
      <c r="R60" s="1251"/>
      <c r="S60" s="1252"/>
      <c r="T60" s="1252"/>
      <c r="U60" s="1252"/>
      <c r="V60" s="1252"/>
      <c r="W60" s="1253"/>
    </row>
    <row r="61" spans="18:23" x14ac:dyDescent="0.3">
      <c r="R61" s="1251"/>
      <c r="S61" s="1252"/>
      <c r="T61" s="1252"/>
      <c r="U61" s="1252"/>
      <c r="V61" s="1252"/>
      <c r="W61" s="1253"/>
    </row>
    <row r="62" spans="18:23" x14ac:dyDescent="0.3">
      <c r="R62" s="1251"/>
      <c r="S62" s="1252"/>
      <c r="T62" s="1252"/>
      <c r="U62" s="1252"/>
      <c r="V62" s="1252"/>
      <c r="W62" s="1253"/>
    </row>
    <row r="63" spans="18:23" x14ac:dyDescent="0.3">
      <c r="R63" s="1251"/>
      <c r="S63" s="1252"/>
      <c r="T63" s="1252"/>
      <c r="U63" s="1252"/>
      <c r="V63" s="1252"/>
      <c r="W63" s="1253"/>
    </row>
    <row r="64" spans="18:23" ht="15" thickBot="1" x14ac:dyDescent="0.35">
      <c r="R64" s="1254"/>
      <c r="S64" s="1255"/>
      <c r="T64" s="1255"/>
      <c r="U64" s="1255"/>
      <c r="V64" s="1255"/>
      <c r="W64" s="1256"/>
    </row>
  </sheetData>
  <mergeCells count="2">
    <mergeCell ref="D12:E15"/>
    <mergeCell ref="R3:W64"/>
  </mergeCells>
  <conditionalFormatting sqref="D11">
    <cfRule type="expression" dxfId="3" priority="4">
      <formula>$B$11="Annet"</formula>
    </cfRule>
  </conditionalFormatting>
  <conditionalFormatting sqref="E11">
    <cfRule type="expression" dxfId="2" priority="3">
      <formula>$B$11="Annet"</formula>
    </cfRule>
  </conditionalFormatting>
  <conditionalFormatting sqref="E10">
    <cfRule type="expression" dxfId="1" priority="2">
      <formula>$B$11="Annet"</formula>
    </cfRule>
  </conditionalFormatting>
  <conditionalFormatting sqref="D10">
    <cfRule type="expression" dxfId="0" priority="1">
      <formula>$B$11="Annet"</formula>
    </cfRule>
  </conditionalFormatting>
  <hyperlinks>
    <hyperlink ref="A43" location="Innledning!A1" display="Tilbake til forside" xr:uid="{00000000-0004-0000-0800-000000000000}"/>
    <hyperlink ref="B43" location="Sammendrag!A1" display="Sammendrag" xr:uid="{00000000-0004-0000-0800-000001000000}"/>
    <hyperlink ref="F43" location="'Avløpsbehandling-Resultater'!A1" display="Resultater" xr:uid="{00000000-0004-0000-0800-000002000000}"/>
    <hyperlink ref="A44" location="'Vann og Avløp-utslippsfaktorer'!A1" display="Utslippsfaktorer" xr:uid="{00000000-0004-0000-0800-000003000000}"/>
  </hyperlinks>
  <pageMargins left="0.7" right="0.7" top="0.75" bottom="0.75" header="0.3" footer="0.3"/>
  <pageSetup paperSize="9" orientation="portrait" horizontalDpi="4294967293" verticalDpi="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800-000000000000}">
          <x14:formula1>
            <xm:f>Lister!$A$2:$A$3</xm:f>
          </x14:formula1>
          <xm:sqref>B12:B13 B41</xm:sqref>
        </x14:dataValidation>
        <x14:dataValidation type="list" allowBlank="1" showInputMessage="1" showErrorMessage="1" xr:uid="{00000000-0002-0000-0800-000001000000}">
          <x14:formula1>
            <xm:f>Lister!$A$5:$A$9</xm:f>
          </x14:formula1>
          <xm:sqref>B30</xm:sqref>
        </x14:dataValidation>
        <x14:dataValidation type="list" allowBlank="1" showInputMessage="1" showErrorMessage="1" xr:uid="{00000000-0002-0000-0800-000002000000}">
          <x14:formula1>
            <xm:f>'Konstanter CH4ogN2O'!$D$5:$D$15</xm:f>
          </x14:formula1>
          <xm:sqref>B11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52"/>
  <sheetViews>
    <sheetView workbookViewId="0">
      <pane xSplit="1" ySplit="2" topLeftCell="B3" activePane="bottomRight" state="frozen"/>
      <selection pane="topRight" activeCell="B1" sqref="B1"/>
      <selection pane="bottomLeft" activeCell="A3" sqref="A3"/>
      <selection pane="bottomRight"/>
    </sheetView>
  </sheetViews>
  <sheetFormatPr baseColWidth="10" defaultColWidth="11.5546875" defaultRowHeight="14.4" x14ac:dyDescent="0.3"/>
  <cols>
    <col min="1" max="1" width="44.5546875" style="440" bestFit="1" customWidth="1"/>
    <col min="2" max="2" width="10" style="440" bestFit="1" customWidth="1"/>
    <col min="3" max="4" width="11.5546875" style="440" bestFit="1" customWidth="1"/>
    <col min="5" max="5" width="12.5546875" style="440" bestFit="1" customWidth="1"/>
    <col min="6" max="7" width="11.5546875" style="440" bestFit="1" customWidth="1"/>
    <col min="8" max="8" width="12.5546875" style="440" bestFit="1" customWidth="1"/>
    <col min="9" max="9" width="15.5546875" style="440" bestFit="1" customWidth="1"/>
    <col min="10" max="10" width="13.5546875" style="440" bestFit="1" customWidth="1"/>
    <col min="11" max="11" width="12.5546875" style="440" bestFit="1" customWidth="1"/>
    <col min="12" max="12" width="11.5546875" style="440" bestFit="1" customWidth="1"/>
    <col min="13" max="13" width="13.5546875" style="440" bestFit="1" customWidth="1"/>
    <col min="14" max="14" width="11.5546875" style="440"/>
    <col min="15" max="17" width="11.5546875" style="440" bestFit="1" customWidth="1"/>
    <col min="18" max="16384" width="11.5546875" style="440"/>
  </cols>
  <sheetData>
    <row r="1" spans="1:22" x14ac:dyDescent="0.3">
      <c r="A1" s="867"/>
      <c r="B1" s="1257" t="s">
        <v>505</v>
      </c>
      <c r="C1" s="1258"/>
      <c r="D1" s="1259"/>
      <c r="E1" s="1257" t="s">
        <v>453</v>
      </c>
      <c r="F1" s="1258"/>
      <c r="G1" s="1259"/>
      <c r="H1" s="1257" t="s">
        <v>506</v>
      </c>
      <c r="I1" s="1258"/>
      <c r="J1" s="1259"/>
      <c r="K1" s="1258" t="s">
        <v>561</v>
      </c>
      <c r="L1" s="1258"/>
      <c r="M1" s="1260"/>
    </row>
    <row r="2" spans="1:22" x14ac:dyDescent="0.3">
      <c r="A2" s="913"/>
      <c r="B2" s="1064" t="s">
        <v>558</v>
      </c>
      <c r="C2" s="1065" t="s">
        <v>559</v>
      </c>
      <c r="D2" s="1066" t="s">
        <v>560</v>
      </c>
      <c r="E2" s="1064" t="s">
        <v>558</v>
      </c>
      <c r="F2" s="1065" t="s">
        <v>559</v>
      </c>
      <c r="G2" s="1066" t="s">
        <v>560</v>
      </c>
      <c r="H2" s="1064" t="s">
        <v>558</v>
      </c>
      <c r="I2" s="1065" t="s">
        <v>559</v>
      </c>
      <c r="J2" s="1066" t="s">
        <v>560</v>
      </c>
      <c r="K2" s="1065" t="s">
        <v>558</v>
      </c>
      <c r="L2" s="1065" t="s">
        <v>559</v>
      </c>
      <c r="M2" s="1067" t="s">
        <v>560</v>
      </c>
    </row>
    <row r="3" spans="1:22" x14ac:dyDescent="0.3">
      <c r="A3" s="1063" t="s">
        <v>555</v>
      </c>
      <c r="B3" s="473"/>
      <c r="C3" s="442"/>
      <c r="D3" s="982"/>
      <c r="E3" s="473"/>
      <c r="F3" s="442"/>
      <c r="G3" s="982"/>
      <c r="H3" s="473"/>
      <c r="I3" s="442"/>
      <c r="J3" s="982"/>
      <c r="K3" s="442"/>
      <c r="L3" s="442"/>
      <c r="M3" s="902"/>
    </row>
    <row r="4" spans="1:22" x14ac:dyDescent="0.3">
      <c r="A4" s="868" t="str">
        <f>'Input KOSTRA regnskapsdata'!S7</f>
        <v>Forbruksmateriell</v>
      </c>
      <c r="B4" s="473"/>
      <c r="C4" s="442"/>
      <c r="D4" s="978">
        <f>'Input KOSTRA regnskapsdata'!T7</f>
        <v>0</v>
      </c>
      <c r="E4" s="473"/>
      <c r="F4" s="442"/>
      <c r="G4" s="978">
        <f>'Input KOSTRA regnskapsdata'!V7</f>
        <v>0</v>
      </c>
      <c r="H4" s="473"/>
      <c r="I4" s="442"/>
      <c r="J4" s="978">
        <f>'Input KOSTRA regnskapsdata'!U7</f>
        <v>0</v>
      </c>
      <c r="K4" s="442"/>
      <c r="L4" s="442"/>
      <c r="M4" s="952">
        <f>'Input KOSTRA regnskapsdata'!W7</f>
        <v>0</v>
      </c>
      <c r="Q4" s="979"/>
    </row>
    <row r="5" spans="1:22" x14ac:dyDescent="0.3">
      <c r="A5" s="868" t="str">
        <f>'Input KOSTRA regnskapsdata'!S8</f>
        <v>Transport</v>
      </c>
      <c r="B5" s="473"/>
      <c r="C5" s="442"/>
      <c r="D5" s="978">
        <f>'Input KOSTRA regnskapsdata'!T8</f>
        <v>0</v>
      </c>
      <c r="E5" s="473"/>
      <c r="F5" s="442"/>
      <c r="G5" s="978">
        <f>'Input KOSTRA regnskapsdata'!V8</f>
        <v>0</v>
      </c>
      <c r="H5" s="473"/>
      <c r="I5" s="442"/>
      <c r="J5" s="978">
        <f>'Input KOSTRA regnskapsdata'!U8</f>
        <v>0</v>
      </c>
      <c r="K5" s="442"/>
      <c r="L5" s="442"/>
      <c r="M5" s="952">
        <f>'Input KOSTRA regnskapsdata'!W8</f>
        <v>0</v>
      </c>
      <c r="Q5" s="979"/>
      <c r="V5" s="979"/>
    </row>
    <row r="6" spans="1:22" x14ac:dyDescent="0.3">
      <c r="A6" s="868" t="s">
        <v>487</v>
      </c>
      <c r="B6" s="473"/>
      <c r="C6" s="521">
        <f>'Input KOSTRA regnskapsdata'!L9</f>
        <v>0</v>
      </c>
      <c r="D6" s="978"/>
      <c r="E6" s="473"/>
      <c r="F6" s="521">
        <f>'Input KOSTRA regnskapsdata'!N9</f>
        <v>0</v>
      </c>
      <c r="G6" s="982"/>
      <c r="H6" s="473"/>
      <c r="I6" s="521">
        <f>'Input KOSTRA regnskapsdata'!M9</f>
        <v>0</v>
      </c>
      <c r="J6" s="982"/>
      <c r="K6" s="442"/>
      <c r="L6" s="521">
        <f>'Input KOSTRA regnskapsdata'!O9</f>
        <v>0</v>
      </c>
      <c r="M6" s="902"/>
      <c r="P6" s="964"/>
      <c r="U6" s="964"/>
      <c r="V6" s="964"/>
    </row>
    <row r="7" spans="1:22" x14ac:dyDescent="0.3">
      <c r="A7" s="868" t="s">
        <v>488</v>
      </c>
      <c r="B7" s="473"/>
      <c r="C7" s="521">
        <f>'Input KOSTRA regnskapsdata'!L10</f>
        <v>0</v>
      </c>
      <c r="D7" s="978"/>
      <c r="E7" s="473"/>
      <c r="F7" s="521">
        <f>'Input KOSTRA regnskapsdata'!N10</f>
        <v>0</v>
      </c>
      <c r="G7" s="982"/>
      <c r="H7" s="473"/>
      <c r="I7" s="521">
        <f>'Input KOSTRA regnskapsdata'!M10</f>
        <v>0</v>
      </c>
      <c r="J7" s="982"/>
      <c r="K7" s="442"/>
      <c r="L7" s="521">
        <f>'Input KOSTRA regnskapsdata'!O10</f>
        <v>0</v>
      </c>
      <c r="M7" s="902"/>
      <c r="P7" s="964"/>
    </row>
    <row r="8" spans="1:22" x14ac:dyDescent="0.3">
      <c r="A8" s="868" t="s">
        <v>489</v>
      </c>
      <c r="B8" s="520">
        <f>'Input KOSTRA regnskapsdata'!L11</f>
        <v>0</v>
      </c>
      <c r="C8" s="442"/>
      <c r="D8" s="978"/>
      <c r="E8" s="520">
        <f>'Input KOSTRA regnskapsdata'!N11</f>
        <v>0</v>
      </c>
      <c r="F8" s="442"/>
      <c r="G8" s="982"/>
      <c r="H8" s="520">
        <f>'Input KOSTRA regnskapsdata'!M11</f>
        <v>0</v>
      </c>
      <c r="I8" s="442"/>
      <c r="J8" s="982"/>
      <c r="K8" s="521">
        <f>'Input KOSTRA regnskapsdata'!O11</f>
        <v>0</v>
      </c>
      <c r="L8" s="442"/>
      <c r="M8" s="902"/>
      <c r="O8" s="964"/>
    </row>
    <row r="9" spans="1:22" x14ac:dyDescent="0.3">
      <c r="A9" s="868" t="s">
        <v>490</v>
      </c>
      <c r="B9" s="520">
        <f>'Input KOSTRA regnskapsdata'!L12</f>
        <v>0</v>
      </c>
      <c r="C9" s="442"/>
      <c r="D9" s="522"/>
      <c r="E9" s="520">
        <f>'Input KOSTRA regnskapsdata'!N12</f>
        <v>0</v>
      </c>
      <c r="F9" s="442"/>
      <c r="G9" s="522"/>
      <c r="H9" s="520">
        <f>'Input KOSTRA regnskapsdata'!M12</f>
        <v>0</v>
      </c>
      <c r="I9" s="442"/>
      <c r="J9" s="522"/>
      <c r="K9" s="521">
        <f>'Input KOSTRA regnskapsdata'!O12</f>
        <v>0</v>
      </c>
      <c r="L9" s="442"/>
      <c r="M9" s="825"/>
      <c r="Q9" s="964"/>
    </row>
    <row r="10" spans="1:22" x14ac:dyDescent="0.3">
      <c r="A10" s="868" t="s">
        <v>491</v>
      </c>
      <c r="B10" s="473"/>
      <c r="C10" s="442"/>
      <c r="D10" s="522">
        <f>'Input KOSTRA regnskapsdata'!L13</f>
        <v>0</v>
      </c>
      <c r="E10" s="473"/>
      <c r="F10" s="442"/>
      <c r="G10" s="522">
        <f>'Input KOSTRA regnskapsdata'!N13</f>
        <v>0</v>
      </c>
      <c r="H10" s="473"/>
      <c r="I10" s="442"/>
      <c r="J10" s="522">
        <f>'Input KOSTRA regnskapsdata'!M13</f>
        <v>0</v>
      </c>
      <c r="K10" s="442"/>
      <c r="L10" s="442"/>
      <c r="M10" s="825">
        <f>'Input KOSTRA regnskapsdata'!O13</f>
        <v>0</v>
      </c>
      <c r="Q10" s="964"/>
    </row>
    <row r="11" spans="1:22" x14ac:dyDescent="0.3">
      <c r="A11" s="868" t="str">
        <f>'Input KOSTRA regnskapsdata'!S10</f>
        <v>Bygg og anlegg</v>
      </c>
      <c r="B11" s="473"/>
      <c r="C11" s="442"/>
      <c r="D11" s="978">
        <f>'Input KOSTRA regnskapsdata'!T10</f>
        <v>0</v>
      </c>
      <c r="E11" s="473"/>
      <c r="F11" s="442"/>
      <c r="G11" s="978">
        <f>'Input KOSTRA regnskapsdata'!V10</f>
        <v>0</v>
      </c>
      <c r="H11" s="473"/>
      <c r="I11" s="442"/>
      <c r="J11" s="978">
        <f>'Input KOSTRA regnskapsdata'!U10</f>
        <v>0</v>
      </c>
      <c r="K11" s="442"/>
      <c r="L11" s="442"/>
      <c r="M11" s="952">
        <f>'Input KOSTRA regnskapsdata'!W10</f>
        <v>0</v>
      </c>
      <c r="Q11" s="979"/>
      <c r="V11" s="979">
        <f>'Input KOSTRA regnskapsdata'!X10</f>
        <v>0</v>
      </c>
    </row>
    <row r="12" spans="1:22" x14ac:dyDescent="0.3">
      <c r="A12" s="868" t="str">
        <f>'Input KOSTRA regnskapsdata'!S11</f>
        <v>Maskiner og utstyr</v>
      </c>
      <c r="B12" s="473"/>
      <c r="C12" s="442"/>
      <c r="D12" s="978">
        <f>'Input KOSTRA regnskapsdata'!T11</f>
        <v>0</v>
      </c>
      <c r="E12" s="473"/>
      <c r="F12" s="442"/>
      <c r="G12" s="978">
        <f>'Input KOSTRA regnskapsdata'!V11</f>
        <v>0</v>
      </c>
      <c r="H12" s="473"/>
      <c r="I12" s="442"/>
      <c r="J12" s="978">
        <f>'Input KOSTRA regnskapsdata'!U11</f>
        <v>0</v>
      </c>
      <c r="K12" s="442"/>
      <c r="L12" s="442"/>
      <c r="M12" s="952">
        <f>'Input KOSTRA regnskapsdata'!W11</f>
        <v>0</v>
      </c>
      <c r="Q12" s="979"/>
    </row>
    <row r="13" spans="1:22" x14ac:dyDescent="0.3">
      <c r="A13" s="1068" t="s">
        <v>556</v>
      </c>
      <c r="B13" s="899"/>
      <c r="C13" s="900"/>
      <c r="D13" s="1069"/>
      <c r="E13" s="899"/>
      <c r="F13" s="900"/>
      <c r="G13" s="1069"/>
      <c r="H13" s="899"/>
      <c r="I13" s="900"/>
      <c r="J13" s="1069"/>
      <c r="K13" s="900"/>
      <c r="L13" s="900"/>
      <c r="M13" s="901"/>
    </row>
    <row r="14" spans="1:22" x14ac:dyDescent="0.3">
      <c r="A14" s="868" t="str">
        <f>'Vannbehandling - Resultater'!A3</f>
        <v>Elektrisitet, Norsk forbruksmiks</v>
      </c>
      <c r="B14" s="473"/>
      <c r="C14" s="980">
        <f>'Vannbehandling - Resultater'!B3</f>
        <v>0</v>
      </c>
      <c r="D14" s="982"/>
      <c r="E14" s="473"/>
      <c r="F14" s="442"/>
      <c r="G14" s="982"/>
      <c r="H14" s="473"/>
      <c r="I14" s="442"/>
      <c r="J14" s="982"/>
      <c r="K14" s="442"/>
      <c r="L14" s="442"/>
      <c r="M14" s="902"/>
    </row>
    <row r="15" spans="1:22" x14ac:dyDescent="0.3">
      <c r="A15" s="868" t="str">
        <f>'Vannbehandling - Resultater'!A4</f>
        <v>Fjernvarme</v>
      </c>
      <c r="B15" s="473"/>
      <c r="C15" s="980">
        <f>'Vannbehandling - Resultater'!B4</f>
        <v>0</v>
      </c>
      <c r="D15" s="982"/>
      <c r="E15" s="473"/>
      <c r="F15" s="442"/>
      <c r="G15" s="982"/>
      <c r="H15" s="473"/>
      <c r="I15" s="442"/>
      <c r="J15" s="982"/>
      <c r="K15" s="442"/>
      <c r="L15" s="442"/>
      <c r="M15" s="902"/>
    </row>
    <row r="16" spans="1:22" x14ac:dyDescent="0.3">
      <c r="A16" s="868" t="str">
        <f>'Vannbehandling - Resultater'!A5</f>
        <v>Naturgassfyring</v>
      </c>
      <c r="B16" s="981">
        <f>'Vannbehandling - Resultater'!B5</f>
        <v>0</v>
      </c>
      <c r="C16" s="442"/>
      <c r="D16" s="978"/>
      <c r="E16" s="473"/>
      <c r="F16" s="442"/>
      <c r="G16" s="982"/>
      <c r="H16" s="473"/>
      <c r="I16" s="442"/>
      <c r="J16" s="982"/>
      <c r="K16" s="442"/>
      <c r="L16" s="442"/>
      <c r="M16" s="902"/>
    </row>
    <row r="17" spans="1:13" x14ac:dyDescent="0.3">
      <c r="A17" s="868" t="s">
        <v>764</v>
      </c>
      <c r="B17" s="981">
        <f>'Vannbehandling - Resultater'!B6</f>
        <v>0</v>
      </c>
      <c r="C17" s="442"/>
      <c r="D17" s="978"/>
      <c r="E17" s="473"/>
      <c r="F17" s="442"/>
      <c r="G17" s="982"/>
      <c r="H17" s="473"/>
      <c r="I17" s="442"/>
      <c r="J17" s="982"/>
      <c r="K17" s="442"/>
      <c r="L17" s="442"/>
      <c r="M17" s="902"/>
    </row>
    <row r="18" spans="1:13" x14ac:dyDescent="0.3">
      <c r="A18" s="868" t="str">
        <f>'Vannbehandling - Resultater'!A7</f>
        <v>Oljefyring</v>
      </c>
      <c r="B18" s="981">
        <f>'Vannbehandling - Resultater'!B7</f>
        <v>0</v>
      </c>
      <c r="C18" s="442"/>
      <c r="D18" s="982"/>
      <c r="E18" s="473"/>
      <c r="F18" s="442"/>
      <c r="G18" s="982"/>
      <c r="H18" s="473"/>
      <c r="I18" s="442"/>
      <c r="J18" s="982"/>
      <c r="K18" s="442"/>
      <c r="L18" s="442"/>
      <c r="M18" s="902"/>
    </row>
    <row r="19" spans="1:13" x14ac:dyDescent="0.3">
      <c r="A19" s="868" t="str">
        <f>'Vannbehandling - Resultater'!A8</f>
        <v>Pelletsfyring</v>
      </c>
      <c r="B19" s="473"/>
      <c r="C19" s="442"/>
      <c r="D19" s="978">
        <f>'Vannbehandling - Resultater'!B8</f>
        <v>0</v>
      </c>
      <c r="E19" s="473"/>
      <c r="F19" s="442"/>
      <c r="G19" s="982"/>
      <c r="H19" s="473"/>
      <c r="I19" s="442"/>
      <c r="J19" s="982"/>
      <c r="K19" s="442"/>
      <c r="L19" s="442"/>
      <c r="M19" s="902"/>
    </row>
    <row r="20" spans="1:13" x14ac:dyDescent="0.3">
      <c r="A20" s="868" t="str">
        <f>'Vannbehandling - Resultater'!J4</f>
        <v>Filtermasser</v>
      </c>
      <c r="B20" s="473"/>
      <c r="C20" s="442"/>
      <c r="D20" s="978">
        <f>'Vannbehandling - Resultater'!K4</f>
        <v>0</v>
      </c>
      <c r="E20" s="473"/>
      <c r="F20" s="442"/>
      <c r="G20" s="982"/>
      <c r="H20" s="473"/>
      <c r="I20" s="442"/>
      <c r="J20" s="982"/>
      <c r="K20" s="442"/>
      <c r="L20" s="442"/>
      <c r="M20" s="902"/>
    </row>
    <row r="21" spans="1:13" x14ac:dyDescent="0.3">
      <c r="A21" s="868" t="str">
        <f>'Vannbehandling - Resultater'!J5</f>
        <v>Kjemikalier - felling</v>
      </c>
      <c r="B21" s="473"/>
      <c r="C21" s="442"/>
      <c r="D21" s="978">
        <f>'Vannbehandling - Resultater'!K5</f>
        <v>0</v>
      </c>
      <c r="E21" s="473"/>
      <c r="F21" s="442"/>
      <c r="G21" s="982"/>
      <c r="H21" s="473"/>
      <c r="I21" s="442"/>
      <c r="J21" s="982"/>
      <c r="K21" s="442"/>
      <c r="L21" s="442"/>
      <c r="M21" s="902"/>
    </row>
    <row r="22" spans="1:13" x14ac:dyDescent="0.3">
      <c r="A22" s="868" t="str">
        <f>'Vannbehandling - Resultater'!J6</f>
        <v>Karbonkilder</v>
      </c>
      <c r="B22" s="473"/>
      <c r="C22" s="442"/>
      <c r="D22" s="978">
        <f>'Vannbehandling - Resultater'!K6</f>
        <v>0</v>
      </c>
      <c r="E22" s="473"/>
      <c r="F22" s="442"/>
      <c r="G22" s="982"/>
      <c r="H22" s="473"/>
      <c r="I22" s="442"/>
      <c r="J22" s="982"/>
      <c r="K22" s="442"/>
      <c r="L22" s="442"/>
      <c r="M22" s="902"/>
    </row>
    <row r="23" spans="1:13" x14ac:dyDescent="0.3">
      <c r="A23" s="868" t="str">
        <f>'Vannbehandling - Resultater'!J7</f>
        <v>Kjemikalier – pH-justering/korrosjonskontroll</v>
      </c>
      <c r="B23" s="473"/>
      <c r="C23" s="442"/>
      <c r="D23" s="978">
        <f>'Vannbehandling - Resultater'!K7</f>
        <v>0</v>
      </c>
      <c r="E23" s="473"/>
      <c r="F23" s="442"/>
      <c r="G23" s="982"/>
      <c r="H23" s="473"/>
      <c r="I23" s="442"/>
      <c r="J23" s="982"/>
      <c r="K23" s="442"/>
      <c r="L23" s="442"/>
      <c r="M23" s="902"/>
    </row>
    <row r="24" spans="1:13" x14ac:dyDescent="0.3">
      <c r="A24" s="868" t="str">
        <f>'Vannbehandling - Resultater'!J8</f>
        <v>Andre kjemikalier og forbruksvarer</v>
      </c>
      <c r="B24" s="473"/>
      <c r="C24" s="442"/>
      <c r="D24" s="978">
        <f>'Vannbehandling - Resultater'!K8</f>
        <v>0</v>
      </c>
      <c r="E24" s="473"/>
      <c r="F24" s="442"/>
      <c r="G24" s="982"/>
      <c r="H24" s="473"/>
      <c r="I24" s="442"/>
      <c r="J24" s="982"/>
      <c r="K24" s="442"/>
      <c r="L24" s="442"/>
      <c r="M24" s="902"/>
    </row>
    <row r="25" spans="1:13" x14ac:dyDescent="0.3">
      <c r="A25" s="868" t="str">
        <f>'Vannbehandling - Resultater'!J9</f>
        <v>Transport</v>
      </c>
      <c r="B25" s="473">
        <f>SUM('Vannbehandling - Input'!AH14:AH101,'Vannbehandling - Input'!AK14:AK101,'Vannbehandling - Input'!AN14:AN101)</f>
        <v>0</v>
      </c>
      <c r="C25" s="442">
        <f>SUM('Vannbehandling - Input'!AI14:AI101,'Vannbehandling - Input'!AL14:AL101,'Vannbehandling - Input'!AO14:AO101)</f>
        <v>0</v>
      </c>
      <c r="D25" s="982">
        <f>SUM('Vannbehandling - Input'!AJ14:AJ101,'Vannbehandling - Input'!AM14:AM101,'Vannbehandling - Input'!AP14:AP101)</f>
        <v>0</v>
      </c>
      <c r="E25" s="473"/>
      <c r="F25" s="442"/>
      <c r="G25" s="982"/>
      <c r="H25" s="473"/>
      <c r="I25" s="442"/>
      <c r="J25" s="982"/>
      <c r="K25" s="442"/>
      <c r="L25" s="442"/>
      <c r="M25" s="902"/>
    </row>
    <row r="26" spans="1:13" x14ac:dyDescent="0.3">
      <c r="A26" s="1068" t="s">
        <v>562</v>
      </c>
      <c r="B26" s="899"/>
      <c r="C26" s="900"/>
      <c r="D26" s="1069"/>
      <c r="E26" s="899"/>
      <c r="F26" s="900"/>
      <c r="G26" s="1069"/>
      <c r="H26" s="899"/>
      <c r="I26" s="900"/>
      <c r="J26" s="1069"/>
      <c r="K26" s="900"/>
      <c r="L26" s="900"/>
      <c r="M26" s="901"/>
    </row>
    <row r="27" spans="1:13" x14ac:dyDescent="0.3">
      <c r="A27" s="868" t="s">
        <v>278</v>
      </c>
      <c r="B27" s="473"/>
      <c r="C27" s="442"/>
      <c r="D27" s="982"/>
      <c r="E27" s="473"/>
      <c r="F27" s="442"/>
      <c r="G27" s="982"/>
      <c r="H27" s="981"/>
      <c r="I27" s="526">
        <f>'Input KOSTRA regnskapsdata'!L26</f>
        <v>0</v>
      </c>
      <c r="J27" s="982"/>
      <c r="K27" s="442"/>
      <c r="L27" s="442"/>
      <c r="M27" s="902"/>
    </row>
    <row r="28" spans="1:13" x14ac:dyDescent="0.3">
      <c r="A28" s="1068" t="s">
        <v>563</v>
      </c>
      <c r="B28" s="899"/>
      <c r="C28" s="1070"/>
      <c r="D28" s="1069"/>
      <c r="E28" s="899"/>
      <c r="F28" s="900"/>
      <c r="G28" s="1069"/>
      <c r="H28" s="899"/>
      <c r="I28" s="900"/>
      <c r="J28" s="1069"/>
      <c r="K28" s="900"/>
      <c r="L28" s="1071"/>
      <c r="M28" s="901"/>
    </row>
    <row r="29" spans="1:13" x14ac:dyDescent="0.3">
      <c r="A29" s="868" t="s">
        <v>278</v>
      </c>
      <c r="B29" s="473"/>
      <c r="C29" s="442"/>
      <c r="D29" s="982"/>
      <c r="E29" s="473"/>
      <c r="F29" s="442"/>
      <c r="G29" s="982"/>
      <c r="H29" s="473"/>
      <c r="I29" s="442"/>
      <c r="J29" s="982"/>
      <c r="K29" s="980"/>
      <c r="L29" s="526">
        <f>'Input KOSTRA regnskapsdata'!M26</f>
        <v>0</v>
      </c>
      <c r="M29" s="902"/>
    </row>
    <row r="30" spans="1:13" x14ac:dyDescent="0.3">
      <c r="A30" s="1068" t="s">
        <v>557</v>
      </c>
      <c r="B30" s="899"/>
      <c r="C30" s="900"/>
      <c r="D30" s="1069"/>
      <c r="E30" s="899"/>
      <c r="F30" s="900"/>
      <c r="G30" s="1069"/>
      <c r="H30" s="899"/>
      <c r="I30" s="900"/>
      <c r="J30" s="1069"/>
      <c r="K30" s="900"/>
      <c r="L30" s="900"/>
      <c r="M30" s="901"/>
    </row>
    <row r="31" spans="1:13" x14ac:dyDescent="0.3">
      <c r="A31" s="868" t="str">
        <f>'Avløpsbehandling - Input'!C7</f>
        <v>Elektrisitet, Norsk forbruksmiks</v>
      </c>
      <c r="B31" s="473"/>
      <c r="C31" s="442"/>
      <c r="D31" s="982"/>
      <c r="E31" s="473"/>
      <c r="F31" s="980">
        <f>'Avløpsbehandling-Resultater'!B16</f>
        <v>0</v>
      </c>
      <c r="G31" s="982"/>
      <c r="H31" s="473"/>
      <c r="I31" s="442"/>
      <c r="J31" s="982"/>
      <c r="K31" s="442"/>
      <c r="L31" s="442"/>
      <c r="M31" s="902"/>
    </row>
    <row r="32" spans="1:13" x14ac:dyDescent="0.3">
      <c r="A32" s="868" t="str">
        <f>'Avløpsbehandling - Input'!C8</f>
        <v>Fjernvarme</v>
      </c>
      <c r="B32" s="473"/>
      <c r="C32" s="442"/>
      <c r="D32" s="982"/>
      <c r="E32" s="473"/>
      <c r="F32" s="980">
        <f>'Avløpsbehandling-Resultater'!B17</f>
        <v>0</v>
      </c>
      <c r="G32" s="982"/>
      <c r="H32" s="473"/>
      <c r="I32" s="442"/>
      <c r="J32" s="982"/>
      <c r="K32" s="442"/>
      <c r="L32" s="442"/>
      <c r="M32" s="902"/>
    </row>
    <row r="33" spans="1:17" x14ac:dyDescent="0.3">
      <c r="A33" s="868" t="str">
        <f>'Avløpsbehandling - Input'!C9</f>
        <v>Naturgassfyring</v>
      </c>
      <c r="B33" s="473"/>
      <c r="C33" s="442"/>
      <c r="D33" s="982"/>
      <c r="E33" s="981">
        <f>'Avløpsbehandling-Resultater'!B18</f>
        <v>0</v>
      </c>
      <c r="F33" s="442"/>
      <c r="G33" s="978"/>
      <c r="H33" s="473"/>
      <c r="I33" s="442"/>
      <c r="J33" s="982"/>
      <c r="K33" s="442"/>
      <c r="L33" s="442"/>
      <c r="M33" s="902"/>
    </row>
    <row r="34" spans="1:17" x14ac:dyDescent="0.3">
      <c r="A34" s="868" t="s">
        <v>764</v>
      </c>
      <c r="B34" s="473"/>
      <c r="C34" s="442"/>
      <c r="D34" s="982"/>
      <c r="E34" s="981">
        <f>'Avløpsbehandling-Resultater'!B19</f>
        <v>0</v>
      </c>
      <c r="F34" s="442"/>
      <c r="G34" s="978"/>
      <c r="H34" s="473"/>
      <c r="I34" s="442"/>
      <c r="J34" s="982"/>
      <c r="K34" s="442"/>
      <c r="L34" s="442"/>
      <c r="M34" s="902"/>
    </row>
    <row r="35" spans="1:17" x14ac:dyDescent="0.3">
      <c r="A35" s="868" t="str">
        <f>'Avløpsbehandling - Input'!C11</f>
        <v>Oljefyring</v>
      </c>
      <c r="B35" s="473"/>
      <c r="C35" s="442"/>
      <c r="D35" s="982"/>
      <c r="E35" s="981">
        <f>'Avløpsbehandling-Resultater'!B20</f>
        <v>0</v>
      </c>
      <c r="F35" s="442"/>
      <c r="G35" s="982"/>
      <c r="H35" s="473"/>
      <c r="I35" s="442"/>
      <c r="J35" s="982"/>
      <c r="K35" s="442"/>
      <c r="L35" s="442"/>
      <c r="M35" s="902"/>
    </row>
    <row r="36" spans="1:17" x14ac:dyDescent="0.3">
      <c r="A36" s="868" t="str">
        <f>'Avløpsbehandling - Input'!C12</f>
        <v>Pelletsfyring</v>
      </c>
      <c r="B36" s="473"/>
      <c r="C36" s="442"/>
      <c r="D36" s="982"/>
      <c r="E36" s="473"/>
      <c r="F36" s="442"/>
      <c r="G36" s="978">
        <f>'Avløpsbehandling-Resultater'!B21</f>
        <v>0</v>
      </c>
      <c r="H36" s="473"/>
      <c r="I36" s="442"/>
      <c r="J36" s="982"/>
      <c r="K36" s="442"/>
      <c r="L36" s="442"/>
      <c r="M36" s="902"/>
    </row>
    <row r="37" spans="1:17" x14ac:dyDescent="0.3">
      <c r="A37" s="868" t="str">
        <f>'Avløpsbehandling-Resultater'!A5</f>
        <v>Filtermasser</v>
      </c>
      <c r="B37" s="473"/>
      <c r="C37" s="442"/>
      <c r="D37" s="982"/>
      <c r="E37" s="473"/>
      <c r="F37" s="442"/>
      <c r="G37" s="978">
        <f>'Avløpsbehandling-Resultater'!B5</f>
        <v>0</v>
      </c>
      <c r="H37" s="473"/>
      <c r="I37" s="442"/>
      <c r="J37" s="982"/>
      <c r="K37" s="442"/>
      <c r="L37" s="442"/>
      <c r="M37" s="902"/>
    </row>
    <row r="38" spans="1:17" x14ac:dyDescent="0.3">
      <c r="A38" s="868" t="str">
        <f>'Avløpsbehandling-Resultater'!A6</f>
        <v>Kjemikalier - felling</v>
      </c>
      <c r="B38" s="473"/>
      <c r="C38" s="442"/>
      <c r="D38" s="982"/>
      <c r="E38" s="473"/>
      <c r="F38" s="442"/>
      <c r="G38" s="978">
        <f>'Avløpsbehandling-Resultater'!B6</f>
        <v>0</v>
      </c>
      <c r="H38" s="473"/>
      <c r="I38" s="442"/>
      <c r="J38" s="982"/>
      <c r="K38" s="442"/>
      <c r="L38" s="442"/>
      <c r="M38" s="902"/>
    </row>
    <row r="39" spans="1:17" x14ac:dyDescent="0.3">
      <c r="A39" s="868" t="str">
        <f>'Avløpsbehandling-Resultater'!A7</f>
        <v>Karbonkilder</v>
      </c>
      <c r="B39" s="473"/>
      <c r="C39" s="442"/>
      <c r="D39" s="982"/>
      <c r="E39" s="473"/>
      <c r="F39" s="442"/>
      <c r="G39" s="978">
        <f>'Avløpsbehandling-Resultater'!B7</f>
        <v>0</v>
      </c>
      <c r="H39" s="473"/>
      <c r="I39" s="442"/>
      <c r="J39" s="982"/>
      <c r="K39" s="442"/>
      <c r="L39" s="442"/>
      <c r="M39" s="902"/>
    </row>
    <row r="40" spans="1:17" x14ac:dyDescent="0.3">
      <c r="A40" s="868" t="str">
        <f>'Avløpsbehandling-Resultater'!A8</f>
        <v>Kjemikalier – pH-justering/korrosjonskontroll</v>
      </c>
      <c r="B40" s="473"/>
      <c r="C40" s="442"/>
      <c r="D40" s="982"/>
      <c r="E40" s="473"/>
      <c r="F40" s="442"/>
      <c r="G40" s="978">
        <f>'Avløpsbehandling-Resultater'!B8</f>
        <v>0</v>
      </c>
      <c r="H40" s="473"/>
      <c r="I40" s="442"/>
      <c r="J40" s="982"/>
      <c r="K40" s="442"/>
      <c r="L40" s="442"/>
      <c r="M40" s="902"/>
    </row>
    <row r="41" spans="1:17" x14ac:dyDescent="0.3">
      <c r="A41" s="868" t="str">
        <f>'Avløpsbehandling-Resultater'!A9</f>
        <v>Andre kjemikalier og forbruksvarer</v>
      </c>
      <c r="B41" s="473"/>
      <c r="C41" s="442"/>
      <c r="D41" s="982"/>
      <c r="E41" s="473"/>
      <c r="F41" s="442"/>
      <c r="G41" s="978">
        <f>'Avløpsbehandling-Resultater'!B9</f>
        <v>0</v>
      </c>
      <c r="H41" s="473"/>
      <c r="I41" s="442"/>
      <c r="J41" s="982"/>
      <c r="K41" s="442"/>
      <c r="L41" s="442"/>
      <c r="M41" s="902"/>
    </row>
    <row r="42" spans="1:17" x14ac:dyDescent="0.3">
      <c r="A42" s="868" t="str">
        <f>'Avløpsbehandling-Resultater'!A10</f>
        <v>Transport</v>
      </c>
      <c r="B42" s="473"/>
      <c r="C42" s="442"/>
      <c r="D42" s="982"/>
      <c r="E42" s="473">
        <f>SUM('Avløpsbehandling - Input'!AH16:AH103)+SUM('Avløpsbehandling - Input'!AK16:AK103)+SUM('Avløpsbehandling - Input'!AN16:AN103)</f>
        <v>0</v>
      </c>
      <c r="F42" s="442">
        <f>SUM('Avløpsbehandling - Input'!AI16:AI103)+SUM('Avløpsbehandling - Input'!AL16:AL103)+SUM('Avløpsbehandling - Input'!AO16:AO103)</f>
        <v>0</v>
      </c>
      <c r="G42" s="982">
        <f>SUM('Avløpsbehandling - Input'!AJ16:AJ103)+SUM('Avløpsbehandling - Input'!AM16:AM103)+SUM('Avløpsbehandling - Input'!AP16:AP103)</f>
        <v>0</v>
      </c>
      <c r="H42" s="473"/>
      <c r="I42" s="442"/>
      <c r="J42" s="982"/>
      <c r="K42" s="442"/>
      <c r="L42" s="442"/>
      <c r="M42" s="902"/>
    </row>
    <row r="43" spans="1:17" x14ac:dyDescent="0.3">
      <c r="A43" s="868" t="str">
        <f>'Avløpsbehandling-Resultater'!A11</f>
        <v>Metan og Lystgassutslipp</v>
      </c>
      <c r="B43" s="473"/>
      <c r="C43" s="442"/>
      <c r="D43" s="982"/>
      <c r="E43" s="981">
        <f>'Avløpsbehandling-Resultater'!B11</f>
        <v>0</v>
      </c>
      <c r="F43" s="442"/>
      <c r="G43" s="982"/>
      <c r="H43" s="473"/>
      <c r="I43" s="442"/>
      <c r="J43" s="982"/>
      <c r="K43" s="442"/>
      <c r="L43" s="442"/>
      <c r="M43" s="902"/>
    </row>
    <row r="44" spans="1:17" x14ac:dyDescent="0.3">
      <c r="A44" s="1068" t="s">
        <v>927</v>
      </c>
      <c r="B44" s="899"/>
      <c r="C44" s="900"/>
      <c r="D44" s="1069"/>
      <c r="E44" s="1072"/>
      <c r="F44" s="900"/>
      <c r="G44" s="1069"/>
      <c r="H44" s="899"/>
      <c r="I44" s="900"/>
      <c r="J44" s="1069"/>
      <c r="K44" s="900"/>
      <c r="L44" s="900"/>
      <c r="M44" s="901"/>
    </row>
    <row r="45" spans="1:17" x14ac:dyDescent="0.3">
      <c r="A45" s="868" t="s">
        <v>946</v>
      </c>
      <c r="B45" s="520"/>
      <c r="C45" s="521"/>
      <c r="D45" s="522">
        <f>'Input KOSTRA regnskapsdata'!L35</f>
        <v>0</v>
      </c>
      <c r="E45" s="981"/>
      <c r="F45" s="521"/>
      <c r="G45" s="522">
        <f>'Input KOSTRA regnskapsdata'!N35</f>
        <v>0</v>
      </c>
      <c r="H45" s="520"/>
      <c r="I45" s="521"/>
      <c r="J45" s="522">
        <f>'Input KOSTRA regnskapsdata'!M35</f>
        <v>0</v>
      </c>
      <c r="K45" s="521"/>
      <c r="L45" s="521"/>
      <c r="M45" s="825">
        <f>'Input KOSTRA regnskapsdata'!O35</f>
        <v>0</v>
      </c>
    </row>
    <row r="46" spans="1:17" ht="15" thickBot="1" x14ac:dyDescent="0.35">
      <c r="A46" s="1073" t="s">
        <v>331</v>
      </c>
      <c r="B46" s="983">
        <f t="shared" ref="B46:M46" si="0">SUM(B4:B45)</f>
        <v>0</v>
      </c>
      <c r="C46" s="984">
        <f t="shared" si="0"/>
        <v>0</v>
      </c>
      <c r="D46" s="985">
        <f t="shared" si="0"/>
        <v>0</v>
      </c>
      <c r="E46" s="983">
        <f t="shared" si="0"/>
        <v>0</v>
      </c>
      <c r="F46" s="984">
        <f t="shared" si="0"/>
        <v>0</v>
      </c>
      <c r="G46" s="985">
        <f t="shared" si="0"/>
        <v>0</v>
      </c>
      <c r="H46" s="983">
        <f t="shared" si="0"/>
        <v>0</v>
      </c>
      <c r="I46" s="984">
        <f t="shared" si="0"/>
        <v>0</v>
      </c>
      <c r="J46" s="985">
        <f t="shared" si="0"/>
        <v>0</v>
      </c>
      <c r="K46" s="984">
        <f t="shared" si="0"/>
        <v>0</v>
      </c>
      <c r="L46" s="984">
        <f t="shared" si="0"/>
        <v>0</v>
      </c>
      <c r="M46" s="986">
        <f t="shared" si="0"/>
        <v>0</v>
      </c>
      <c r="N46" s="1074"/>
      <c r="O46" s="1074"/>
      <c r="P46" s="1074"/>
      <c r="Q46" s="1074"/>
    </row>
    <row r="47" spans="1:17" ht="15" thickBot="1" x14ac:dyDescent="0.35">
      <c r="B47" s="1074"/>
      <c r="C47" s="1074"/>
      <c r="D47" s="1074"/>
      <c r="E47" s="1074"/>
      <c r="F47" s="1074"/>
      <c r="G47" s="1074"/>
      <c r="H47" s="1074"/>
      <c r="I47" s="1074"/>
      <c r="J47" s="1074"/>
      <c r="K47" s="1074"/>
      <c r="L47" s="1074"/>
      <c r="M47" s="1074"/>
      <c r="N47" s="1074"/>
      <c r="O47" s="1074"/>
      <c r="P47" s="1074"/>
      <c r="Q47" s="1074"/>
    </row>
    <row r="48" spans="1:17" x14ac:dyDescent="0.3">
      <c r="A48" s="867" t="s">
        <v>564</v>
      </c>
      <c r="B48" s="1075"/>
      <c r="C48" s="1074"/>
      <c r="D48" s="1074"/>
      <c r="E48" s="1074"/>
      <c r="F48" s="1074"/>
      <c r="G48" s="1074"/>
      <c r="H48" s="1074"/>
      <c r="I48" s="1074"/>
      <c r="J48" s="1074"/>
      <c r="K48" s="1074"/>
      <c r="L48" s="1074"/>
      <c r="M48" s="1074"/>
      <c r="N48" s="1074"/>
      <c r="O48" s="1074"/>
      <c r="P48" s="1074"/>
      <c r="Q48" s="1074"/>
    </row>
    <row r="49" spans="1:17" x14ac:dyDescent="0.3">
      <c r="A49" s="868" t="s">
        <v>558</v>
      </c>
      <c r="B49" s="987">
        <f>B46+E46+H46+K46</f>
        <v>0</v>
      </c>
      <c r="C49" s="1074"/>
      <c r="D49" s="1074"/>
      <c r="E49" s="1074"/>
      <c r="F49" s="1074"/>
      <c r="G49" s="1074"/>
      <c r="H49" s="1074"/>
      <c r="I49" s="1074"/>
      <c r="J49" s="1074"/>
      <c r="K49" s="1074"/>
      <c r="L49" s="1074"/>
      <c r="M49" s="1074"/>
      <c r="N49" s="1074"/>
      <c r="O49" s="1074"/>
      <c r="P49" s="1074"/>
      <c r="Q49" s="1074"/>
    </row>
    <row r="50" spans="1:17" x14ac:dyDescent="0.3">
      <c r="A50" s="868" t="s">
        <v>559</v>
      </c>
      <c r="B50" s="987">
        <f>C46+F46+I46+L46</f>
        <v>0</v>
      </c>
      <c r="C50" s="1074"/>
      <c r="D50" s="1074"/>
      <c r="E50" s="1074"/>
      <c r="F50" s="1074"/>
      <c r="G50" s="1074"/>
      <c r="H50" s="1074"/>
      <c r="I50" s="1074"/>
      <c r="J50" s="1074"/>
      <c r="K50" s="1074"/>
      <c r="L50" s="1074"/>
      <c r="M50" s="1074"/>
      <c r="N50" s="1074"/>
      <c r="O50" s="1074"/>
      <c r="P50" s="1074"/>
      <c r="Q50" s="1074"/>
    </row>
    <row r="51" spans="1:17" x14ac:dyDescent="0.3">
      <c r="A51" s="868" t="s">
        <v>560</v>
      </c>
      <c r="B51" s="987">
        <f>D46+G46+J46+M46</f>
        <v>0</v>
      </c>
      <c r="C51" s="1074"/>
      <c r="D51" s="1074"/>
      <c r="E51" s="1074"/>
      <c r="F51" s="1074"/>
      <c r="G51" s="1074"/>
      <c r="H51" s="1074"/>
      <c r="I51" s="1074"/>
      <c r="J51" s="1074"/>
      <c r="K51" s="1074"/>
      <c r="L51" s="1074"/>
      <c r="M51" s="1074"/>
      <c r="N51" s="1074"/>
      <c r="O51" s="1074"/>
      <c r="P51" s="1074"/>
      <c r="Q51" s="1074"/>
    </row>
    <row r="52" spans="1:17" ht="15" thickBot="1" x14ac:dyDescent="0.35">
      <c r="A52" s="915"/>
      <c r="B52" s="988">
        <f>SUM(B49:B51)</f>
        <v>0</v>
      </c>
      <c r="C52" s="1074"/>
      <c r="D52" s="1074"/>
      <c r="E52" s="1074"/>
      <c r="F52" s="1074"/>
      <c r="G52" s="1074"/>
      <c r="H52" s="1074"/>
      <c r="I52" s="1074"/>
      <c r="J52" s="1074"/>
      <c r="K52" s="1074"/>
      <c r="L52" s="1074"/>
      <c r="M52" s="1074"/>
      <c r="N52" s="1074"/>
      <c r="O52" s="1074"/>
      <c r="P52" s="1074"/>
      <c r="Q52" s="1074"/>
    </row>
  </sheetData>
  <sheetProtection algorithmName="SHA-512" hashValue="0MOSL2a5RRYkflbhTX7F02ZY2lIoiBM05ZGYLgdOfjasYsOUjnp6+I8CTsmlF5cdWtIL4pVaatGxiK5fUfXLNQ==" saltValue="cumu0Mgx7MXMo939nDSlqQ==" spinCount="100000" sheet="1" objects="1" scenarios="1" formatColumns="0" formatRows="0"/>
  <mergeCells count="4">
    <mergeCell ref="B1:D1"/>
    <mergeCell ref="E1:G1"/>
    <mergeCell ref="H1:J1"/>
    <mergeCell ref="K1:M1"/>
  </mergeCells>
  <pageMargins left="0.7" right="0.7" top="0.75" bottom="0.75" header="0.3" footer="0.3"/>
  <pageSetup paperSize="9" orientation="portrait" horizontalDpi="4294967293"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sheetPr>
  <dimension ref="A1:AW78"/>
  <sheetViews>
    <sheetView zoomScale="70" zoomScaleNormal="70" workbookViewId="0"/>
  </sheetViews>
  <sheetFormatPr baseColWidth="10" defaultColWidth="11.5546875" defaultRowHeight="14.4" x14ac:dyDescent="0.3"/>
  <cols>
    <col min="1" max="1" width="13.44140625" style="301" bestFit="1" customWidth="1"/>
    <col min="2" max="2" width="15.109375" style="301" customWidth="1"/>
    <col min="3" max="3" width="18.88671875" style="301" customWidth="1"/>
    <col min="4" max="4" width="15" style="301" customWidth="1"/>
    <col min="5" max="5" width="18.109375" style="301" bestFit="1" customWidth="1"/>
    <col min="6" max="6" width="22" style="301" customWidth="1"/>
    <col min="7" max="7" width="21.5546875" style="301" customWidth="1"/>
    <col min="8" max="8" width="22.109375" style="301" customWidth="1"/>
    <col min="9" max="9" width="17.88671875" style="301" bestFit="1" customWidth="1"/>
    <col min="10" max="10" width="14.44140625" style="301" bestFit="1" customWidth="1"/>
    <col min="11" max="11" width="18.88671875" style="301" customWidth="1"/>
    <col min="12" max="12" width="12.88671875" style="301" customWidth="1"/>
    <col min="13" max="13" width="22.88671875" style="301" bestFit="1" customWidth="1"/>
    <col min="14" max="14" width="18.109375" style="301" customWidth="1"/>
    <col min="15" max="15" width="18.109375" style="301" bestFit="1" customWidth="1"/>
    <col min="16" max="16" width="36" style="301" customWidth="1"/>
    <col min="17" max="17" width="19.109375" style="301" customWidth="1"/>
    <col min="18" max="18" width="14.44140625" style="301" customWidth="1"/>
    <col min="19" max="19" width="40.109375" style="374" bestFit="1" customWidth="1"/>
    <col min="20" max="20" width="11.5546875" style="301"/>
    <col min="21" max="21" width="19.33203125" style="301" customWidth="1"/>
    <col min="22" max="22" width="9.33203125" style="301" bestFit="1" customWidth="1"/>
    <col min="23" max="27" width="20.109375" style="301" customWidth="1"/>
    <col min="28" max="28" width="17.33203125" style="313" customWidth="1"/>
    <col min="29" max="29" width="22.88671875" style="301" customWidth="1"/>
    <col min="30" max="30" width="19.109375" style="301" customWidth="1"/>
    <col min="31" max="31" width="18.5546875" style="301" customWidth="1"/>
    <col min="32" max="32" width="16.109375" style="301" customWidth="1"/>
    <col min="33" max="33" width="20.88671875" style="301" customWidth="1"/>
    <col min="34" max="35" width="11.5546875" style="301" customWidth="1"/>
    <col min="36" max="36" width="18" style="301" bestFit="1" customWidth="1"/>
    <col min="37" max="37" width="20.44140625" style="301" customWidth="1"/>
    <col min="38" max="38" width="18.5546875" style="301" customWidth="1"/>
    <col min="39" max="40" width="11.5546875" style="301"/>
    <col min="41" max="41" width="15.33203125" style="301" bestFit="1" customWidth="1"/>
    <col min="42" max="42" width="11.5546875" style="301"/>
    <col min="43" max="43" width="29.109375" style="301" customWidth="1"/>
    <col min="44" max="44" width="16.6640625" style="301" customWidth="1"/>
    <col min="45" max="16384" width="11.5546875" style="301"/>
  </cols>
  <sheetData>
    <row r="1" spans="1:28" ht="24" thickBot="1" x14ac:dyDescent="0.5">
      <c r="B1" s="302" t="s">
        <v>781</v>
      </c>
      <c r="S1" s="736" t="s">
        <v>370</v>
      </c>
      <c r="T1" s="456"/>
      <c r="U1" s="456"/>
      <c r="V1" s="456"/>
      <c r="W1" s="456"/>
      <c r="X1" s="456"/>
      <c r="Y1" s="456"/>
      <c r="Z1" s="456"/>
      <c r="AA1" s="456"/>
    </row>
    <row r="2" spans="1:28" ht="14.4" customHeight="1" x14ac:dyDescent="0.3">
      <c r="B2" s="1187" t="s">
        <v>970</v>
      </c>
      <c r="C2" s="1188"/>
      <c r="D2" s="1188"/>
      <c r="E2" s="1188"/>
      <c r="F2" s="1188"/>
      <c r="G2" s="1188"/>
      <c r="H2" s="1188"/>
      <c r="I2" s="1188"/>
      <c r="J2" s="1188"/>
      <c r="K2" s="1189"/>
      <c r="L2" s="303"/>
    </row>
    <row r="3" spans="1:28" x14ac:dyDescent="0.3">
      <c r="B3" s="1190"/>
      <c r="C3" s="1191"/>
      <c r="D3" s="1191"/>
      <c r="E3" s="1191"/>
      <c r="F3" s="1191"/>
      <c r="G3" s="1191"/>
      <c r="H3" s="1191"/>
      <c r="I3" s="1191"/>
      <c r="J3" s="1191"/>
      <c r="K3" s="1192"/>
      <c r="L3" s="303"/>
    </row>
    <row r="4" spans="1:28" x14ac:dyDescent="0.3">
      <c r="B4" s="1190"/>
      <c r="C4" s="1191"/>
      <c r="D4" s="1191"/>
      <c r="E4" s="1191"/>
      <c r="F4" s="1191"/>
      <c r="G4" s="1191"/>
      <c r="H4" s="1191"/>
      <c r="I4" s="1191"/>
      <c r="J4" s="1191"/>
      <c r="K4" s="1192"/>
      <c r="L4" s="303"/>
    </row>
    <row r="5" spans="1:28" x14ac:dyDescent="0.3">
      <c r="B5" s="1190"/>
      <c r="C5" s="1191"/>
      <c r="D5" s="1191"/>
      <c r="E5" s="1191"/>
      <c r="F5" s="1191"/>
      <c r="G5" s="1191"/>
      <c r="H5" s="1191"/>
      <c r="I5" s="1191"/>
      <c r="J5" s="1191"/>
      <c r="K5" s="1192"/>
    </row>
    <row r="6" spans="1:28" x14ac:dyDescent="0.3">
      <c r="B6" s="1190"/>
      <c r="C6" s="1191"/>
      <c r="D6" s="1191"/>
      <c r="E6" s="1191"/>
      <c r="F6" s="1191"/>
      <c r="G6" s="1191"/>
      <c r="H6" s="1191"/>
      <c r="I6" s="1191"/>
      <c r="J6" s="1191"/>
      <c r="K6" s="1192"/>
    </row>
    <row r="7" spans="1:28" ht="15" thickBot="1" x14ac:dyDescent="0.35">
      <c r="B7" s="1193"/>
      <c r="C7" s="1194"/>
      <c r="D7" s="1194"/>
      <c r="E7" s="1194"/>
      <c r="F7" s="1194"/>
      <c r="G7" s="1194"/>
      <c r="H7" s="1194"/>
      <c r="I7" s="1194"/>
      <c r="J7" s="1194"/>
      <c r="K7" s="1195"/>
    </row>
    <row r="8" spans="1:28" ht="15" thickBot="1" x14ac:dyDescent="0.35">
      <c r="T8" s="1158"/>
      <c r="U8" s="1158"/>
      <c r="V8" s="1158"/>
    </row>
    <row r="9" spans="1:28" ht="15" thickBot="1" x14ac:dyDescent="0.35">
      <c r="A9" s="313"/>
      <c r="B9" s="313"/>
      <c r="C9" s="313"/>
      <c r="D9" s="313"/>
      <c r="E9" s="313"/>
      <c r="F9" s="313"/>
      <c r="G9" s="313"/>
      <c r="R9" s="313"/>
      <c r="S9" s="737"/>
      <c r="T9" s="1261" t="s">
        <v>989</v>
      </c>
      <c r="U9" s="1261"/>
      <c r="V9" s="1261"/>
      <c r="W9" s="1261"/>
      <c r="X9" s="1261"/>
      <c r="Y9" s="1263"/>
      <c r="Z9" s="385"/>
    </row>
    <row r="10" spans="1:28" ht="21.6" thickBot="1" x14ac:dyDescent="0.45">
      <c r="B10" s="332" t="s">
        <v>780</v>
      </c>
      <c r="C10" s="333"/>
      <c r="D10" s="333"/>
      <c r="E10" s="333"/>
      <c r="F10" s="333"/>
      <c r="R10" s="313"/>
      <c r="S10" s="381" t="s">
        <v>687</v>
      </c>
      <c r="T10" s="1262" t="s">
        <v>990</v>
      </c>
      <c r="U10" s="1261"/>
      <c r="V10" s="1261"/>
      <c r="W10" s="1262" t="s">
        <v>991</v>
      </c>
      <c r="X10" s="1261"/>
      <c r="Y10" s="1263"/>
      <c r="AA10" s="313"/>
      <c r="AB10" s="301"/>
    </row>
    <row r="11" spans="1:28" ht="15" customHeight="1" x14ac:dyDescent="0.3">
      <c r="A11" s="335" t="s">
        <v>777</v>
      </c>
      <c r="B11" s="1267" t="s">
        <v>944</v>
      </c>
      <c r="C11" s="1268"/>
      <c r="D11" s="1268"/>
      <c r="E11" s="1269"/>
      <c r="F11" s="458"/>
      <c r="G11" s="336" t="s">
        <v>985</v>
      </c>
      <c r="H11" s="336" t="s">
        <v>934</v>
      </c>
      <c r="I11" s="337" t="s">
        <v>444</v>
      </c>
      <c r="K11" s="1187" t="s">
        <v>994</v>
      </c>
      <c r="L11" s="1188"/>
      <c r="M11" s="1188"/>
      <c r="N11" s="1189"/>
      <c r="R11" s="313"/>
      <c r="S11" s="373"/>
      <c r="T11" s="738" t="s">
        <v>558</v>
      </c>
      <c r="U11" s="739" t="s">
        <v>559</v>
      </c>
      <c r="V11" s="739" t="s">
        <v>560</v>
      </c>
      <c r="W11" s="740" t="s">
        <v>558</v>
      </c>
      <c r="X11" s="741" t="s">
        <v>559</v>
      </c>
      <c r="Y11" s="511" t="s">
        <v>560</v>
      </c>
      <c r="AA11" s="313"/>
      <c r="AB11" s="301"/>
    </row>
    <row r="12" spans="1:28" x14ac:dyDescent="0.3">
      <c r="A12" s="483">
        <v>0</v>
      </c>
      <c r="B12" s="1165" t="s">
        <v>865</v>
      </c>
      <c r="C12" s="1265"/>
      <c r="D12" s="1265"/>
      <c r="E12" s="1265"/>
      <c r="F12" s="339" t="s">
        <v>876</v>
      </c>
      <c r="G12" s="508">
        <v>0</v>
      </c>
      <c r="H12" s="428">
        <v>0</v>
      </c>
      <c r="I12" s="965" t="str">
        <f>_xlfn.XLOOKUP(F12,'Utslippsfaktorer Transport'!$A$34:$A$52,'Utslippsfaktorer Transport'!$G$34:$G$52)</f>
        <v>Nm3</v>
      </c>
      <c r="K12" s="1190"/>
      <c r="L12" s="1191"/>
      <c r="M12" s="1191"/>
      <c r="N12" s="1192"/>
      <c r="R12" s="313"/>
      <c r="S12" s="868" t="str">
        <f>B12&amp;", "&amp;F12</f>
        <v>Tung lastebil (dieselmotor), Biometan CBM</v>
      </c>
      <c r="T12" s="868">
        <f>G12*_xlfn.XLOOKUP(B12,'Utslippsfaktorer Transport'!$A$9:$A$19,'Utslippsfaktorer Transport'!$B$9:$B$19)*_xlfn.XLOOKUP(F12,'Utslippsfaktorer Transport'!$A$33:$A$52,'Utslippsfaktorer Transport'!$B$33:$B$52)/1000</f>
        <v>0</v>
      </c>
      <c r="U12" s="442">
        <f>G12*_xlfn.XLOOKUP(B12,'Utslippsfaktorer Transport'!$A$9:$A$19,'Utslippsfaktorer Transport'!$B$9:$B$19)*_xlfn.XLOOKUP(F12,'Utslippsfaktorer Transport'!$A$33:$A$52,'Utslippsfaktorer Transport'!$C$33:$C$52)/1000</f>
        <v>0</v>
      </c>
      <c r="V12" s="442">
        <f>G12*_xlfn.XLOOKUP(B12,'Utslippsfaktorer Transport'!$A$9:$A$19,'Utslippsfaktorer Transport'!$B$9:$B$19)*_xlfn.XLOOKUP(F12,'Utslippsfaktorer Transport'!$A$33:$A$52,'Utslippsfaktorer Transport'!$D$33:$D$52)/1000</f>
        <v>0</v>
      </c>
      <c r="W12" s="868">
        <f>H12*_xlfn.XLOOKUP(F12,'Utslippsfaktorer Transport'!$A$33:$A$52,'Utslippsfaktorer Transport'!$B$33:$B$52)*_xlfn.XLOOKUP(F12,'Utslippsfaktorer Transport'!$A$33:$A$52,'Utslippsfaktorer Transport'!$F$33:$F$52)/1000</f>
        <v>0</v>
      </c>
      <c r="X12" s="442">
        <f>H12*_xlfn.XLOOKUP(F12,'Utslippsfaktorer Transport'!$A$33:$A$52,'Utslippsfaktorer Transport'!$C$33:$C$52)*_xlfn.XLOOKUP(F12,'Utslippsfaktorer Transport'!$A$33:$A$52,'Utslippsfaktorer Transport'!$F$33:$F$52)/1000</f>
        <v>0</v>
      </c>
      <c r="Y12" s="902">
        <f>H12*_xlfn.XLOOKUP(F12,'Utslippsfaktorer Transport'!$A$33:$A$52,'Utslippsfaktorer Transport'!$D$33:$D$52)*_xlfn.XLOOKUP(F12,'Utslippsfaktorer Transport'!$A$33:$A$52,'Utslippsfaktorer Transport'!$F$33:$F$52)/1000</f>
        <v>0</v>
      </c>
      <c r="AA12" s="313"/>
      <c r="AB12" s="301"/>
    </row>
    <row r="13" spans="1:28" x14ac:dyDescent="0.3">
      <c r="A13" s="483">
        <v>0</v>
      </c>
      <c r="B13" s="1150" t="s">
        <v>861</v>
      </c>
      <c r="C13" s="1264"/>
      <c r="D13" s="1264"/>
      <c r="E13" s="1264"/>
      <c r="F13" s="315" t="s">
        <v>648</v>
      </c>
      <c r="G13" s="437">
        <v>0</v>
      </c>
      <c r="H13" s="428">
        <v>0</v>
      </c>
      <c r="I13" s="965" t="str">
        <f>_xlfn.XLOOKUP(F13,'Utslippsfaktorer Transport'!$A$34:$A$52,'Utslippsfaktorer Transport'!$G$34:$G$52)</f>
        <v>liter</v>
      </c>
      <c r="K13" s="1190"/>
      <c r="L13" s="1191"/>
      <c r="M13" s="1191"/>
      <c r="N13" s="1192"/>
      <c r="R13" s="313"/>
      <c r="S13" s="868" t="str">
        <f t="shared" ref="S13:S17" si="0">B13&amp;", "&amp;F13</f>
        <v>Lett lastebil (dieselmotor), Diesel</v>
      </c>
      <c r="T13" s="868">
        <f>G13*_xlfn.XLOOKUP(B13,'Utslippsfaktorer Transport'!$A$9:$A$19,'Utslippsfaktorer Transport'!$B$9:$B$19)*_xlfn.XLOOKUP(F13,'Utslippsfaktorer Transport'!$A$33:$A$49,'Utslippsfaktorer Transport'!$B$33:$B$49)/1000</f>
        <v>0</v>
      </c>
      <c r="U13" s="442">
        <f>G13*_xlfn.XLOOKUP(B13,'Utslippsfaktorer Transport'!$A$9:$A$19,'Utslippsfaktorer Transport'!$B$9:$B$19)*_xlfn.XLOOKUP(F13,'Utslippsfaktorer Transport'!$A$33:$A$49,'Utslippsfaktorer Transport'!$C$33:$C$49)/1000</f>
        <v>0</v>
      </c>
      <c r="V13" s="442">
        <f>G13*_xlfn.XLOOKUP(B13,'Utslippsfaktorer Transport'!$A$9:$A$19,'Utslippsfaktorer Transport'!$B$9:$B$19)*_xlfn.XLOOKUP(F13,'Utslippsfaktorer Transport'!$A$33:$A$49,'Utslippsfaktorer Transport'!$C$33:$C$49)/1000</f>
        <v>0</v>
      </c>
      <c r="W13" s="868">
        <f>H13*_xlfn.XLOOKUP(F13,'Utslippsfaktorer Transport'!$A$33:$A$52,'Utslippsfaktorer Transport'!$B$33:$B$52)*_xlfn.XLOOKUP(F13,'Utslippsfaktorer Transport'!$A$33:$A$52,'Utslippsfaktorer Transport'!$F$33:$F$52)/1000</f>
        <v>0</v>
      </c>
      <c r="X13" s="442">
        <f>H13*_xlfn.XLOOKUP(F13,'Utslippsfaktorer Transport'!$A$33:$A$52,'Utslippsfaktorer Transport'!$C$33:$C$52)*_xlfn.XLOOKUP(F13,'Utslippsfaktorer Transport'!$A$33:$A$52,'Utslippsfaktorer Transport'!$F$33:$F$52)/1000</f>
        <v>0</v>
      </c>
      <c r="Y13" s="902">
        <f>H13*_xlfn.XLOOKUP(F13,'Utslippsfaktorer Transport'!$A$33:$A$52,'Utslippsfaktorer Transport'!$D$33:$D$52)*_xlfn.XLOOKUP(F13,'Utslippsfaktorer Transport'!$A$33:$A$52,'Utslippsfaktorer Transport'!$F$33:$F$52)/1000</f>
        <v>0</v>
      </c>
      <c r="AA13" s="313"/>
      <c r="AB13" s="301"/>
    </row>
    <row r="14" spans="1:28" x14ac:dyDescent="0.3">
      <c r="A14" s="483">
        <v>0</v>
      </c>
      <c r="B14" s="1150" t="s">
        <v>866</v>
      </c>
      <c r="C14" s="1264"/>
      <c r="D14" s="1264"/>
      <c r="E14" s="1264"/>
      <c r="F14" s="315" t="s">
        <v>876</v>
      </c>
      <c r="G14" s="437">
        <v>0</v>
      </c>
      <c r="H14" s="428">
        <v>0</v>
      </c>
      <c r="I14" s="965" t="str">
        <f>_xlfn.XLOOKUP(F14,'Utslippsfaktorer Transport'!$A$34:$A$52,'Utslippsfaktorer Transport'!$G$34:$G$52)</f>
        <v>Nm3</v>
      </c>
      <c r="K14" s="1190"/>
      <c r="L14" s="1191"/>
      <c r="M14" s="1191"/>
      <c r="N14" s="1192"/>
      <c r="R14" s="313"/>
      <c r="S14" s="868" t="str">
        <f t="shared" si="0"/>
        <v>Tung lastebil (CNG/LNG), Biometan CBM</v>
      </c>
      <c r="T14" s="868">
        <f>G14*_xlfn.XLOOKUP(B14,'Utslippsfaktorer Transport'!$A$9:$A$19,'Utslippsfaktorer Transport'!$B$9:$B$19)*_xlfn.XLOOKUP(F14,'Utslippsfaktorer Transport'!$A$33:$A$49,'Utslippsfaktorer Transport'!$B$33:$B$49)/1000</f>
        <v>0</v>
      </c>
      <c r="U14" s="442">
        <f>G14*_xlfn.XLOOKUP(B14,'Utslippsfaktorer Transport'!$A$9:$A$19,'Utslippsfaktorer Transport'!$B$9:$B$19)*_xlfn.XLOOKUP(F14,'Utslippsfaktorer Transport'!$A$33:$A$49,'Utslippsfaktorer Transport'!$C$33:$C$49)/1000</f>
        <v>0</v>
      </c>
      <c r="V14" s="442">
        <f>G14*_xlfn.XLOOKUP(B14,'Utslippsfaktorer Transport'!$A$9:$A$19,'Utslippsfaktorer Transport'!$B$9:$B$19)*_xlfn.XLOOKUP(F14,'Utslippsfaktorer Transport'!$A$33:$A$49,'Utslippsfaktorer Transport'!$C$33:$C$49)/1000</f>
        <v>0</v>
      </c>
      <c r="W14" s="868">
        <f>H14*_xlfn.XLOOKUP(F14,'Utslippsfaktorer Transport'!$A$33:$A$52,'Utslippsfaktorer Transport'!$B$33:$B$52)*_xlfn.XLOOKUP(F14,'Utslippsfaktorer Transport'!$A$33:$A$52,'Utslippsfaktorer Transport'!$F$33:$F$52)/1000</f>
        <v>0</v>
      </c>
      <c r="X14" s="442">
        <f>H14*_xlfn.XLOOKUP(F14,'Utslippsfaktorer Transport'!$A$33:$A$52,'Utslippsfaktorer Transport'!$C$33:$C$52)*_xlfn.XLOOKUP(F14,'Utslippsfaktorer Transport'!$A$33:$A$52,'Utslippsfaktorer Transport'!$F$33:$F$52)/1000</f>
        <v>0</v>
      </c>
      <c r="Y14" s="902">
        <f>H14*_xlfn.XLOOKUP(F14,'Utslippsfaktorer Transport'!$A$33:$A$52,'Utslippsfaktorer Transport'!$D$33:$D$52)*_xlfn.XLOOKUP(F14,'Utslippsfaktorer Transport'!$A$33:$A$52,'Utslippsfaktorer Transport'!$F$33:$F$52)/1000</f>
        <v>0</v>
      </c>
      <c r="AA14" s="313"/>
      <c r="AB14" s="301"/>
    </row>
    <row r="15" spans="1:28" x14ac:dyDescent="0.3">
      <c r="A15" s="483">
        <v>0</v>
      </c>
      <c r="B15" s="1150" t="s">
        <v>862</v>
      </c>
      <c r="C15" s="1264"/>
      <c r="D15" s="1264"/>
      <c r="E15" s="1264"/>
      <c r="F15" s="315" t="s">
        <v>876</v>
      </c>
      <c r="G15" s="437">
        <v>0</v>
      </c>
      <c r="H15" s="428">
        <v>0</v>
      </c>
      <c r="I15" s="965" t="str">
        <f>_xlfn.XLOOKUP(F15,'Utslippsfaktorer Transport'!$A$34:$A$52,'Utslippsfaktorer Transport'!$G$34:$G$52)</f>
        <v>Nm3</v>
      </c>
      <c r="K15" s="1190"/>
      <c r="L15" s="1191"/>
      <c r="M15" s="1191"/>
      <c r="N15" s="1192"/>
      <c r="R15" s="313"/>
      <c r="S15" s="868" t="str">
        <f t="shared" si="0"/>
        <v>Lett lastebil (CNG/LPG), Biometan CBM</v>
      </c>
      <c r="T15" s="868">
        <f>G15*_xlfn.XLOOKUP(B15,'Utslippsfaktorer Transport'!$A$9:$A$19,'Utslippsfaktorer Transport'!$B$9:$B$19)*_xlfn.XLOOKUP(F15,'Utslippsfaktorer Transport'!$A$33:$A$49,'Utslippsfaktorer Transport'!$B$33:$B$49)/1000</f>
        <v>0</v>
      </c>
      <c r="U15" s="442">
        <f>G15*_xlfn.XLOOKUP(B15,'Utslippsfaktorer Transport'!$A$9:$A$19,'Utslippsfaktorer Transport'!$B$9:$B$19)*_xlfn.XLOOKUP(F15,'Utslippsfaktorer Transport'!$A$33:$A$49,'Utslippsfaktorer Transport'!$C$33:$C$49)/1000</f>
        <v>0</v>
      </c>
      <c r="V15" s="442">
        <f>G15*_xlfn.XLOOKUP(B15,'Utslippsfaktorer Transport'!$A$9:$A$19,'Utslippsfaktorer Transport'!$B$9:$B$19)*_xlfn.XLOOKUP(F15,'Utslippsfaktorer Transport'!$A$33:$A$49,'Utslippsfaktorer Transport'!$C$33:$C$49)/1000</f>
        <v>0</v>
      </c>
      <c r="W15" s="868">
        <f>H15*_xlfn.XLOOKUP(F15,'Utslippsfaktorer Transport'!$A$33:$A$52,'Utslippsfaktorer Transport'!$B$33:$B$52)*_xlfn.XLOOKUP(F15,'Utslippsfaktorer Transport'!$A$33:$A$52,'Utslippsfaktorer Transport'!$F$33:$F$52)/1000</f>
        <v>0</v>
      </c>
      <c r="X15" s="442">
        <f>H15*_xlfn.XLOOKUP(F15,'Utslippsfaktorer Transport'!$A$33:$A$52,'Utslippsfaktorer Transport'!$C$33:$C$52)*_xlfn.XLOOKUP(F15,'Utslippsfaktorer Transport'!$A$33:$A$52,'Utslippsfaktorer Transport'!$F$33:$F$52)/1000</f>
        <v>0</v>
      </c>
      <c r="Y15" s="902">
        <f>H15*_xlfn.XLOOKUP(F15,'Utslippsfaktorer Transport'!$A$33:$A$52,'Utslippsfaktorer Transport'!$D$33:$D$52)*_xlfn.XLOOKUP(F15,'Utslippsfaktorer Transport'!$A$33:$A$52,'Utslippsfaktorer Transport'!$F$33:$F$52)/1000</f>
        <v>0</v>
      </c>
      <c r="AA15" s="313"/>
      <c r="AB15" s="301"/>
    </row>
    <row r="16" spans="1:28" x14ac:dyDescent="0.3">
      <c r="A16" s="483">
        <v>0</v>
      </c>
      <c r="B16" s="1150" t="s">
        <v>861</v>
      </c>
      <c r="C16" s="1264"/>
      <c r="D16" s="1264"/>
      <c r="E16" s="1264"/>
      <c r="F16" s="315" t="s">
        <v>879</v>
      </c>
      <c r="G16" s="437">
        <v>0</v>
      </c>
      <c r="H16" s="428">
        <v>0</v>
      </c>
      <c r="I16" s="965" t="str">
        <f>_xlfn.XLOOKUP(F16,'Utslippsfaktorer Transport'!$A$34:$A$52,'Utslippsfaktorer Transport'!$G$34:$G$52)</f>
        <v>liter</v>
      </c>
      <c r="K16" s="1190"/>
      <c r="L16" s="1191"/>
      <c r="M16" s="1191"/>
      <c r="N16" s="1192"/>
      <c r="R16" s="313"/>
      <c r="S16" s="868" t="str">
        <f t="shared" si="0"/>
        <v>Lett lastebil (dieselmotor), HVO tallolje</v>
      </c>
      <c r="T16" s="868">
        <f>G16*_xlfn.XLOOKUP(B16,'Utslippsfaktorer Transport'!$A$9:$A$19,'Utslippsfaktorer Transport'!$B$9:$B$19)*_xlfn.XLOOKUP(F16,'Utslippsfaktorer Transport'!$A$33:$A$49,'Utslippsfaktorer Transport'!$B$33:$B$49)/1000</f>
        <v>0</v>
      </c>
      <c r="U16" s="442">
        <f>G16*_xlfn.XLOOKUP(B16,'Utslippsfaktorer Transport'!$A$9:$A$19,'Utslippsfaktorer Transport'!$B$9:$B$19)*_xlfn.XLOOKUP(F16,'Utslippsfaktorer Transport'!$A$33:$A$49,'Utslippsfaktorer Transport'!$C$33:$C$49)/1000</f>
        <v>0</v>
      </c>
      <c r="V16" s="442">
        <f>G16*_xlfn.XLOOKUP(B16,'Utslippsfaktorer Transport'!$A$9:$A$19,'Utslippsfaktorer Transport'!$B$9:$B$19)*_xlfn.XLOOKUP(F16,'Utslippsfaktorer Transport'!$A$33:$A$49,'Utslippsfaktorer Transport'!$C$33:$C$49)/1000</f>
        <v>0</v>
      </c>
      <c r="W16" s="868">
        <f>H16*_xlfn.XLOOKUP(F16,'Utslippsfaktorer Transport'!$A$33:$A$52,'Utslippsfaktorer Transport'!$B$33:$B$52)*_xlfn.XLOOKUP(F16,'Utslippsfaktorer Transport'!$A$33:$A$52,'Utslippsfaktorer Transport'!$F$33:$F$52)/1000</f>
        <v>0</v>
      </c>
      <c r="X16" s="442">
        <f>H16*_xlfn.XLOOKUP(F16,'Utslippsfaktorer Transport'!$A$33:$A$52,'Utslippsfaktorer Transport'!$C$33:$C$52)*_xlfn.XLOOKUP(F16,'Utslippsfaktorer Transport'!$A$33:$A$52,'Utslippsfaktorer Transport'!$F$33:$F$52)/1000</f>
        <v>0</v>
      </c>
      <c r="Y16" s="902">
        <f>H16*_xlfn.XLOOKUP(F16,'Utslippsfaktorer Transport'!$A$33:$A$52,'Utslippsfaktorer Transport'!$D$33:$D$52)*_xlfn.XLOOKUP(F16,'Utslippsfaktorer Transport'!$A$33:$A$52,'Utslippsfaktorer Transport'!$F$33:$F$52)/1000</f>
        <v>0</v>
      </c>
      <c r="AA16" s="313"/>
      <c r="AB16" s="301"/>
    </row>
    <row r="17" spans="1:28" ht="15" thickBot="1" x14ac:dyDescent="0.35">
      <c r="A17" s="365">
        <v>0</v>
      </c>
      <c r="B17" s="1152" t="s">
        <v>865</v>
      </c>
      <c r="C17" s="1266"/>
      <c r="D17" s="1266"/>
      <c r="E17" s="1266"/>
      <c r="F17" s="319" t="s">
        <v>878</v>
      </c>
      <c r="G17" s="427">
        <v>0</v>
      </c>
      <c r="H17" s="426">
        <v>0</v>
      </c>
      <c r="I17" s="923" t="str">
        <f>_xlfn.XLOOKUP(F17,'Utslippsfaktorer Transport'!$A$34:$A$52,'Utslippsfaktorer Transport'!$G$34:$G$52)</f>
        <v>liter</v>
      </c>
      <c r="K17" s="1193"/>
      <c r="L17" s="1194"/>
      <c r="M17" s="1194"/>
      <c r="N17" s="1195"/>
      <c r="R17" s="313"/>
      <c r="S17" s="915" t="str">
        <f t="shared" si="0"/>
        <v>Tung lastebil (dieselmotor), HVO frityrolje</v>
      </c>
      <c r="T17" s="915">
        <f>G17*_xlfn.XLOOKUP(B17,'Utslippsfaktorer Transport'!$A$9:$A$19,'Utslippsfaktorer Transport'!$B$9:$B$19)*_xlfn.XLOOKUP(F17,'Utslippsfaktorer Transport'!$A$33:$A$49,'Utslippsfaktorer Transport'!$B$33:$B$49)/1000</f>
        <v>0</v>
      </c>
      <c r="U17" s="441">
        <f>G17*_xlfn.XLOOKUP(B17,'Utslippsfaktorer Transport'!$A$9:$A$19,'Utslippsfaktorer Transport'!$B$9:$B$19)*_xlfn.XLOOKUP(F17,'Utslippsfaktorer Transport'!$A$33:$A$49,'Utslippsfaktorer Transport'!$C$33:$C$49)/1000</f>
        <v>0</v>
      </c>
      <c r="V17" s="441">
        <f>G17*_xlfn.XLOOKUP(B17,'Utslippsfaktorer Transport'!$A$9:$A$19,'Utslippsfaktorer Transport'!$B$9:$B$19)*_xlfn.XLOOKUP(F17,'Utslippsfaktorer Transport'!$A$33:$A$49,'Utslippsfaktorer Transport'!$C$33:$C$49)/1000</f>
        <v>0</v>
      </c>
      <c r="W17" s="915">
        <f>H17*_xlfn.XLOOKUP(F17,'Utslippsfaktorer Transport'!$A$33:$A$52,'Utslippsfaktorer Transport'!$B$33:$B$52)*_xlfn.XLOOKUP(F17,'Utslippsfaktorer Transport'!$A$33:$A$52,'Utslippsfaktorer Transport'!$F$33:$F$52)/1000</f>
        <v>0</v>
      </c>
      <c r="X17" s="441">
        <f>H17*_xlfn.XLOOKUP(F17,'Utslippsfaktorer Transport'!$A$33:$A$52,'Utslippsfaktorer Transport'!$C$33:$C$52)*_xlfn.XLOOKUP(F17,'Utslippsfaktorer Transport'!$A$33:$A$52,'Utslippsfaktorer Transport'!$F$33:$F$52)/1000</f>
        <v>0</v>
      </c>
      <c r="Y17" s="903">
        <f>H17*_xlfn.XLOOKUP(F17,'Utslippsfaktorer Transport'!$A$33:$A$52,'Utslippsfaktorer Transport'!$D$33:$D$52)*_xlfn.XLOOKUP(F17,'Utslippsfaktorer Transport'!$A$33:$A$52,'Utslippsfaktorer Transport'!$F$33:$F$52)/1000</f>
        <v>0</v>
      </c>
      <c r="AA17" s="313"/>
      <c r="AB17" s="301"/>
    </row>
    <row r="18" spans="1:28" ht="21.6" thickBot="1" x14ac:dyDescent="0.45">
      <c r="B18" s="332"/>
      <c r="C18" s="333"/>
      <c r="D18" s="333"/>
      <c r="E18" s="333"/>
      <c r="F18" s="333"/>
      <c r="K18" s="304"/>
      <c r="L18" s="304"/>
      <c r="M18" s="304"/>
      <c r="R18" s="313"/>
      <c r="S18" s="376" t="s">
        <v>988</v>
      </c>
      <c r="T18" s="915">
        <f>SUM(T12:T17)</f>
        <v>0</v>
      </c>
      <c r="U18" s="441">
        <f t="shared" ref="U18:V18" si="1">SUM(U12:U17)</f>
        <v>0</v>
      </c>
      <c r="V18" s="441">
        <f t="shared" si="1"/>
        <v>0</v>
      </c>
      <c r="W18" s="915">
        <f>SUM(W12:W17)</f>
        <v>0</v>
      </c>
      <c r="X18" s="441">
        <f t="shared" ref="X18" si="2">SUM(X12:X17)</f>
        <v>0</v>
      </c>
      <c r="Y18" s="903">
        <f t="shared" ref="Y18" si="3">SUM(Y12:Y17)</f>
        <v>0</v>
      </c>
      <c r="AA18" s="313"/>
      <c r="AB18" s="301"/>
    </row>
    <row r="19" spans="1:28" x14ac:dyDescent="0.3">
      <c r="B19" s="305"/>
      <c r="C19" s="305"/>
      <c r="D19" s="305"/>
      <c r="E19" s="305"/>
      <c r="S19" s="742"/>
      <c r="T19" s="305"/>
      <c r="U19" s="305"/>
      <c r="V19" s="305"/>
    </row>
    <row r="20" spans="1:28" ht="15" thickBot="1" x14ac:dyDescent="0.35">
      <c r="A20" s="456"/>
      <c r="B20" s="456"/>
      <c r="C20" s="456"/>
      <c r="D20" s="456"/>
      <c r="E20" s="456"/>
      <c r="F20" s="456"/>
      <c r="G20" s="456"/>
      <c r="H20" s="334"/>
      <c r="T20" s="313"/>
      <c r="U20" s="313"/>
      <c r="V20" s="313"/>
      <c r="W20" s="313"/>
    </row>
    <row r="21" spans="1:28" ht="15" customHeight="1" x14ac:dyDescent="0.3">
      <c r="A21" s="314"/>
      <c r="B21" s="995"/>
      <c r="C21" s="1003"/>
      <c r="D21" s="1003"/>
      <c r="E21" s="1003"/>
      <c r="F21" s="314"/>
      <c r="G21" s="314"/>
      <c r="K21" s="1187" t="s">
        <v>756</v>
      </c>
      <c r="L21" s="1188"/>
      <c r="M21" s="1189"/>
      <c r="S21" s="743"/>
      <c r="T21" s="1003"/>
      <c r="U21" s="1003"/>
      <c r="V21" s="1003"/>
      <c r="W21" s="314"/>
      <c r="X21" s="314"/>
      <c r="Y21" s="314"/>
      <c r="Z21" s="314"/>
      <c r="AA21" s="314"/>
    </row>
    <row r="22" spans="1:28" x14ac:dyDescent="0.3">
      <c r="A22" s="313"/>
      <c r="B22" s="1003"/>
      <c r="C22" s="1003"/>
      <c r="D22" s="1003"/>
      <c r="E22" s="1003"/>
      <c r="F22" s="313"/>
      <c r="G22" s="313"/>
      <c r="K22" s="1190"/>
      <c r="L22" s="1191"/>
      <c r="M22" s="1192"/>
      <c r="S22" s="744"/>
      <c r="T22" s="745"/>
      <c r="U22" s="745"/>
      <c r="V22" s="745"/>
      <c r="W22" s="745"/>
      <c r="X22" s="746"/>
      <c r="Y22" s="746"/>
      <c r="Z22" s="746"/>
      <c r="AA22" s="746"/>
    </row>
    <row r="23" spans="1:28" x14ac:dyDescent="0.3">
      <c r="A23" s="313"/>
      <c r="B23" s="1003"/>
      <c r="C23" s="1003"/>
      <c r="D23" s="1003"/>
      <c r="E23" s="1003"/>
      <c r="F23" s="313"/>
      <c r="G23" s="313"/>
      <c r="K23" s="1190"/>
      <c r="L23" s="1191"/>
      <c r="M23" s="1192"/>
      <c r="S23" s="744"/>
      <c r="T23" s="745"/>
      <c r="U23" s="745"/>
      <c r="V23" s="745"/>
      <c r="W23" s="745"/>
      <c r="X23" s="746"/>
      <c r="Y23" s="746"/>
      <c r="Z23" s="746"/>
      <c r="AA23" s="746"/>
    </row>
    <row r="24" spans="1:28" x14ac:dyDescent="0.3">
      <c r="A24" s="313"/>
      <c r="B24" s="1003"/>
      <c r="C24" s="1003"/>
      <c r="D24" s="1003"/>
      <c r="E24" s="1003"/>
      <c r="F24" s="313"/>
      <c r="G24" s="313"/>
      <c r="K24" s="1190"/>
      <c r="L24" s="1191"/>
      <c r="M24" s="1192"/>
      <c r="S24" s="744"/>
      <c r="T24" s="745"/>
      <c r="U24" s="745"/>
      <c r="V24" s="745"/>
      <c r="W24" s="745"/>
      <c r="X24" s="746"/>
      <c r="Y24" s="746"/>
      <c r="Z24" s="746"/>
      <c r="AA24" s="746"/>
    </row>
    <row r="25" spans="1:28" x14ac:dyDescent="0.3">
      <c r="A25" s="313"/>
      <c r="B25" s="1003"/>
      <c r="C25" s="1003"/>
      <c r="D25" s="1003"/>
      <c r="E25" s="1003"/>
      <c r="F25" s="313"/>
      <c r="G25" s="313"/>
      <c r="K25" s="1190"/>
      <c r="L25" s="1191"/>
      <c r="M25" s="1192"/>
      <c r="S25" s="744"/>
      <c r="T25" s="745"/>
      <c r="U25" s="745"/>
      <c r="V25" s="745"/>
      <c r="W25" s="745"/>
      <c r="X25" s="746"/>
      <c r="Y25" s="746"/>
      <c r="Z25" s="746"/>
      <c r="AA25" s="746"/>
    </row>
    <row r="26" spans="1:28" x14ac:dyDescent="0.3">
      <c r="A26" s="313"/>
      <c r="B26" s="1003"/>
      <c r="C26" s="1003"/>
      <c r="D26" s="1003"/>
      <c r="E26" s="1003"/>
      <c r="F26" s="313"/>
      <c r="G26" s="313"/>
      <c r="K26" s="1190"/>
      <c r="L26" s="1191"/>
      <c r="M26" s="1192"/>
      <c r="S26" s="744"/>
      <c r="T26" s="745"/>
      <c r="U26" s="745"/>
      <c r="V26" s="745"/>
      <c r="W26" s="745"/>
      <c r="X26" s="746"/>
      <c r="Y26" s="746"/>
      <c r="Z26" s="746"/>
      <c r="AA26" s="746"/>
    </row>
    <row r="27" spans="1:28" x14ac:dyDescent="0.3">
      <c r="A27" s="313"/>
      <c r="B27" s="1003"/>
      <c r="C27" s="1003"/>
      <c r="D27" s="1003"/>
      <c r="E27" s="1003"/>
      <c r="F27" s="313"/>
      <c r="G27" s="313"/>
      <c r="K27" s="1190"/>
      <c r="L27" s="1191"/>
      <c r="M27" s="1192"/>
      <c r="S27" s="744"/>
      <c r="T27" s="745"/>
      <c r="U27" s="745"/>
      <c r="V27" s="745"/>
      <c r="W27" s="745"/>
      <c r="X27" s="746"/>
      <c r="Y27" s="746"/>
      <c r="Z27" s="746"/>
      <c r="AA27" s="746"/>
    </row>
    <row r="28" spans="1:28" x14ac:dyDescent="0.3">
      <c r="A28" s="313"/>
      <c r="B28" s="1003"/>
      <c r="C28" s="1003"/>
      <c r="D28" s="1003"/>
      <c r="E28" s="1003"/>
      <c r="F28" s="314"/>
      <c r="G28" s="314"/>
      <c r="K28" s="1190"/>
      <c r="L28" s="1191"/>
      <c r="M28" s="1192"/>
      <c r="S28" s="744"/>
      <c r="T28" s="745"/>
      <c r="U28" s="745"/>
      <c r="V28" s="745"/>
      <c r="W28" s="745"/>
      <c r="X28" s="746"/>
      <c r="Y28" s="746"/>
      <c r="Z28" s="746"/>
      <c r="AA28" s="746"/>
    </row>
    <row r="29" spans="1:28" x14ac:dyDescent="0.3">
      <c r="A29" s="313"/>
      <c r="B29" s="1003"/>
      <c r="C29" s="1003"/>
      <c r="D29" s="1003"/>
      <c r="E29" s="1003"/>
      <c r="F29" s="313"/>
      <c r="G29" s="313"/>
      <c r="K29" s="1190"/>
      <c r="L29" s="1191"/>
      <c r="M29" s="1192"/>
      <c r="S29" s="744"/>
      <c r="T29" s="745"/>
      <c r="U29" s="745"/>
      <c r="V29" s="745"/>
      <c r="W29" s="745"/>
      <c r="X29" s="746"/>
      <c r="Y29" s="746"/>
      <c r="Z29" s="746"/>
      <c r="AA29" s="746"/>
    </row>
    <row r="30" spans="1:28" x14ac:dyDescent="0.3">
      <c r="A30" s="314"/>
      <c r="B30" s="995"/>
      <c r="C30" s="1003"/>
      <c r="D30" s="1003"/>
      <c r="E30" s="1003"/>
      <c r="F30" s="314"/>
      <c r="G30" s="314"/>
      <c r="K30" s="1190"/>
      <c r="L30" s="1191"/>
      <c r="M30" s="1192"/>
      <c r="S30" s="744"/>
      <c r="T30" s="745"/>
      <c r="U30" s="745"/>
      <c r="V30" s="745"/>
      <c r="W30" s="745"/>
      <c r="X30" s="314"/>
      <c r="Y30" s="314"/>
      <c r="Z30" s="314"/>
      <c r="AA30" s="314"/>
    </row>
    <row r="31" spans="1:28" ht="15" thickBot="1" x14ac:dyDescent="0.35">
      <c r="A31" s="313"/>
      <c r="B31" s="1003"/>
      <c r="C31" s="1003"/>
      <c r="D31" s="1003"/>
      <c r="E31" s="1003"/>
      <c r="F31" s="313"/>
      <c r="G31" s="313"/>
      <c r="K31" s="1193"/>
      <c r="L31" s="1194"/>
      <c r="M31" s="1195"/>
      <c r="S31" s="744"/>
      <c r="T31" s="745"/>
      <c r="U31" s="745"/>
      <c r="V31" s="745"/>
      <c r="W31" s="745"/>
      <c r="X31" s="746"/>
      <c r="Y31" s="746"/>
      <c r="Z31" s="746"/>
      <c r="AA31" s="746"/>
    </row>
    <row r="33" spans="1:27" x14ac:dyDescent="0.3">
      <c r="A33" s="314"/>
      <c r="B33" s="1226"/>
      <c r="C33" s="1226"/>
      <c r="D33" s="1226"/>
      <c r="E33" s="1226"/>
      <c r="F33" s="314"/>
      <c r="G33" s="314"/>
      <c r="H33" s="334"/>
    </row>
    <row r="34" spans="1:27" ht="15" thickBot="1" x14ac:dyDescent="0.35">
      <c r="A34" s="334" t="s">
        <v>338</v>
      </c>
      <c r="S34" s="648"/>
      <c r="AA34" s="313"/>
    </row>
    <row r="35" spans="1:27" x14ac:dyDescent="0.3">
      <c r="A35" s="335" t="s">
        <v>777</v>
      </c>
      <c r="B35" s="370" t="s">
        <v>849</v>
      </c>
      <c r="C35" s="337" t="s">
        <v>654</v>
      </c>
      <c r="D35" s="370" t="s">
        <v>7</v>
      </c>
      <c r="E35" s="337" t="s">
        <v>654</v>
      </c>
      <c r="F35" s="370" t="s">
        <v>8</v>
      </c>
      <c r="G35" s="337" t="s">
        <v>654</v>
      </c>
      <c r="H35" s="370" t="s">
        <v>5</v>
      </c>
      <c r="I35" s="337" t="s">
        <v>654</v>
      </c>
      <c r="J35" s="370" t="s">
        <v>6</v>
      </c>
      <c r="K35" s="337" t="s">
        <v>654</v>
      </c>
      <c r="L35" s="370" t="s">
        <v>9</v>
      </c>
      <c r="M35" s="337" t="s">
        <v>654</v>
      </c>
      <c r="N35" s="308" t="s">
        <v>553</v>
      </c>
      <c r="O35" s="337" t="s">
        <v>654</v>
      </c>
      <c r="P35" s="308" t="s">
        <v>701</v>
      </c>
      <c r="Q35" s="337" t="s">
        <v>654</v>
      </c>
      <c r="R35" s="371"/>
      <c r="S35" s="1204" t="s">
        <v>338</v>
      </c>
      <c r="T35" s="1205"/>
      <c r="U35" s="337" t="s">
        <v>708</v>
      </c>
      <c r="W35" s="314"/>
      <c r="X35" s="314"/>
      <c r="Y35" s="314"/>
      <c r="Z35" s="314"/>
      <c r="AA35" s="314"/>
    </row>
    <row r="36" spans="1:27" x14ac:dyDescent="0.3">
      <c r="A36" s="372"/>
      <c r="B36" s="373">
        <v>110</v>
      </c>
      <c r="C36" s="361"/>
      <c r="D36" s="373">
        <v>110</v>
      </c>
      <c r="E36" s="361"/>
      <c r="F36" s="373">
        <v>110</v>
      </c>
      <c r="G36" s="361"/>
      <c r="H36" s="373">
        <v>150</v>
      </c>
      <c r="I36" s="361"/>
      <c r="J36" s="373">
        <v>150</v>
      </c>
      <c r="K36" s="361"/>
      <c r="L36" s="373">
        <v>100</v>
      </c>
      <c r="M36" s="361"/>
      <c r="N36" s="313">
        <v>100</v>
      </c>
      <c r="O36" s="361"/>
      <c r="P36" s="373">
        <v>100</v>
      </c>
      <c r="Q36" s="361"/>
      <c r="R36" s="374"/>
      <c r="S36" s="469" t="s">
        <v>3</v>
      </c>
      <c r="T36" s="331"/>
      <c r="U36" s="966">
        <f>(SUMPRODUCT(C36:C52,'Transportsystemer, faktorer'!C39:C55)+C57*1000)*'Transportsystemer, faktorer'!E58</f>
        <v>2370</v>
      </c>
      <c r="V36" s="313"/>
      <c r="W36" s="313"/>
      <c r="X36" s="313"/>
      <c r="Y36" s="313"/>
      <c r="Z36" s="313"/>
      <c r="AA36" s="313"/>
    </row>
    <row r="37" spans="1:27" x14ac:dyDescent="0.3">
      <c r="A37" s="372"/>
      <c r="B37" s="373">
        <v>160</v>
      </c>
      <c r="C37" s="361"/>
      <c r="D37" s="373">
        <v>160</v>
      </c>
      <c r="E37" s="361"/>
      <c r="F37" s="373">
        <v>160</v>
      </c>
      <c r="G37" s="361"/>
      <c r="H37" s="373">
        <v>200</v>
      </c>
      <c r="I37" s="361"/>
      <c r="J37" s="373">
        <v>200</v>
      </c>
      <c r="K37" s="361"/>
      <c r="L37" s="373">
        <v>125</v>
      </c>
      <c r="M37" s="361"/>
      <c r="N37" s="313">
        <v>125</v>
      </c>
      <c r="O37" s="361"/>
      <c r="P37" s="373">
        <v>125</v>
      </c>
      <c r="Q37" s="361"/>
      <c r="R37" s="313"/>
      <c r="S37" s="469" t="s">
        <v>7</v>
      </c>
      <c r="T37" s="331"/>
      <c r="U37" s="966">
        <f>(SUMPRODUCT(E36:E52,'Transportsystemer, faktorer'!E39:E55)+E57*1000)*'Transportsystemer, faktorer'!E59</f>
        <v>0</v>
      </c>
      <c r="V37" s="313"/>
      <c r="W37" s="313"/>
      <c r="X37" s="313"/>
      <c r="Y37" s="313"/>
      <c r="Z37" s="313"/>
      <c r="AA37" s="313"/>
    </row>
    <row r="38" spans="1:27" x14ac:dyDescent="0.3">
      <c r="A38" s="372"/>
      <c r="B38" s="373">
        <v>200</v>
      </c>
      <c r="C38" s="361"/>
      <c r="D38" s="373">
        <v>200</v>
      </c>
      <c r="E38" s="361"/>
      <c r="F38" s="373">
        <v>200</v>
      </c>
      <c r="G38" s="361"/>
      <c r="H38" s="373">
        <v>250</v>
      </c>
      <c r="I38" s="361"/>
      <c r="J38" s="373">
        <v>250</v>
      </c>
      <c r="K38" s="361"/>
      <c r="L38" s="373">
        <v>150</v>
      </c>
      <c r="M38" s="361"/>
      <c r="N38" s="313">
        <v>150</v>
      </c>
      <c r="O38" s="361"/>
      <c r="P38" s="373">
        <v>150</v>
      </c>
      <c r="Q38" s="361"/>
      <c r="R38" s="313"/>
      <c r="S38" s="469" t="s">
        <v>8</v>
      </c>
      <c r="T38" s="331"/>
      <c r="U38" s="966">
        <f>(SUMPRODUCT(G36:G52,'Transportsystemer, faktorer'!G39:G55)+G57*1000)*'Transportsystemer, faktorer'!E60</f>
        <v>0</v>
      </c>
      <c r="V38" s="313"/>
      <c r="W38" s="313"/>
      <c r="X38" s="313"/>
      <c r="Y38" s="313"/>
      <c r="Z38" s="313"/>
      <c r="AA38" s="313"/>
    </row>
    <row r="39" spans="1:27" x14ac:dyDescent="0.3">
      <c r="A39" s="372"/>
      <c r="B39" s="373">
        <v>225</v>
      </c>
      <c r="C39" s="361"/>
      <c r="D39" s="373">
        <v>225</v>
      </c>
      <c r="E39" s="361"/>
      <c r="F39" s="373">
        <v>225</v>
      </c>
      <c r="G39" s="361"/>
      <c r="H39" s="373">
        <v>300</v>
      </c>
      <c r="I39" s="361"/>
      <c r="J39" s="373">
        <v>300</v>
      </c>
      <c r="K39" s="361"/>
      <c r="L39" s="373">
        <v>200</v>
      </c>
      <c r="M39" s="361"/>
      <c r="N39" s="313">
        <v>200</v>
      </c>
      <c r="O39" s="361"/>
      <c r="P39" s="373">
        <v>200</v>
      </c>
      <c r="Q39" s="361"/>
      <c r="R39" s="313"/>
      <c r="S39" s="469" t="s">
        <v>5</v>
      </c>
      <c r="T39" s="331"/>
      <c r="U39" s="966">
        <f>(SUMPRODUCT(I36:I52,'Transportsystemer, faktorer'!I39:I55)+I57*1000)*'Transportsystemer, faktorer'!E61</f>
        <v>0</v>
      </c>
      <c r="V39" s="313"/>
      <c r="W39" s="313"/>
      <c r="X39" s="313"/>
      <c r="Y39" s="313"/>
      <c r="Z39" s="313"/>
      <c r="AA39" s="313"/>
    </row>
    <row r="40" spans="1:27" x14ac:dyDescent="0.3">
      <c r="A40" s="372"/>
      <c r="B40" s="373">
        <v>250</v>
      </c>
      <c r="C40" s="361"/>
      <c r="D40" s="373">
        <v>250</v>
      </c>
      <c r="E40" s="361"/>
      <c r="F40" s="373">
        <v>250</v>
      </c>
      <c r="G40" s="361"/>
      <c r="H40" s="373">
        <v>400</v>
      </c>
      <c r="I40" s="361"/>
      <c r="J40" s="373">
        <v>400</v>
      </c>
      <c r="K40" s="361"/>
      <c r="L40" s="373">
        <v>250</v>
      </c>
      <c r="M40" s="361"/>
      <c r="N40" s="313">
        <v>250</v>
      </c>
      <c r="O40" s="361"/>
      <c r="P40" s="373">
        <v>250</v>
      </c>
      <c r="Q40" s="361"/>
      <c r="R40" s="313"/>
      <c r="S40" s="469" t="s">
        <v>6</v>
      </c>
      <c r="T40" s="331"/>
      <c r="U40" s="966">
        <f>(SUMPRODUCT(K36:K52,'Transportsystemer, faktorer'!K39:K55)+K57*1000)*'Transportsystemer, faktorer'!E62</f>
        <v>0</v>
      </c>
      <c r="V40" s="313"/>
      <c r="W40" s="313"/>
      <c r="X40" s="313"/>
      <c r="Y40" s="313"/>
      <c r="Z40" s="313"/>
      <c r="AA40" s="313"/>
    </row>
    <row r="41" spans="1:27" x14ac:dyDescent="0.3">
      <c r="A41" s="372"/>
      <c r="B41" s="373">
        <v>280</v>
      </c>
      <c r="C41" s="361"/>
      <c r="D41" s="373">
        <v>280</v>
      </c>
      <c r="E41" s="361"/>
      <c r="F41" s="373">
        <v>280</v>
      </c>
      <c r="G41" s="361"/>
      <c r="H41" s="373">
        <v>500</v>
      </c>
      <c r="I41" s="361"/>
      <c r="J41" s="373">
        <v>500</v>
      </c>
      <c r="K41" s="361"/>
      <c r="L41" s="373">
        <v>300</v>
      </c>
      <c r="M41" s="361"/>
      <c r="N41" s="313">
        <v>300</v>
      </c>
      <c r="O41" s="361"/>
      <c r="P41" s="373">
        <v>300</v>
      </c>
      <c r="Q41" s="361"/>
      <c r="R41" s="313"/>
      <c r="S41" s="469" t="s">
        <v>9</v>
      </c>
      <c r="T41" s="331"/>
      <c r="U41" s="966">
        <f>(SUMPRODUCT(M36:M52,'Transportsystemer, faktorer'!M39:M55)+M57*1000)*'Transportsystemer, faktorer'!E63</f>
        <v>0</v>
      </c>
      <c r="V41" s="313"/>
      <c r="W41" s="313"/>
      <c r="X41" s="313"/>
      <c r="Y41" s="313"/>
      <c r="Z41" s="313"/>
      <c r="AA41" s="313"/>
    </row>
    <row r="42" spans="1:27" x14ac:dyDescent="0.3">
      <c r="A42" s="372"/>
      <c r="B42" s="373">
        <v>315</v>
      </c>
      <c r="C42" s="361"/>
      <c r="D42" s="373">
        <v>315</v>
      </c>
      <c r="E42" s="361"/>
      <c r="F42" s="373">
        <v>315</v>
      </c>
      <c r="G42" s="361"/>
      <c r="H42" s="373">
        <v>600</v>
      </c>
      <c r="I42" s="361"/>
      <c r="J42" s="373">
        <v>600</v>
      </c>
      <c r="K42" s="361"/>
      <c r="L42" s="373">
        <v>400</v>
      </c>
      <c r="M42" s="361"/>
      <c r="N42" s="313">
        <v>350</v>
      </c>
      <c r="O42" s="361"/>
      <c r="P42" s="373">
        <v>350</v>
      </c>
      <c r="Q42" s="361"/>
      <c r="R42" s="313"/>
      <c r="S42" s="469" t="s">
        <v>553</v>
      </c>
      <c r="T42" s="331"/>
      <c r="U42" s="966">
        <f>(SUMPRODUCT(O36:O52,'Transportsystemer, faktorer'!O39:O55)+O57*1000)*'Transportsystemer, faktorer'!E64</f>
        <v>0</v>
      </c>
      <c r="V42" s="313"/>
      <c r="W42" s="313"/>
      <c r="X42" s="313"/>
      <c r="Y42" s="313"/>
      <c r="Z42" s="313"/>
      <c r="AA42" s="313"/>
    </row>
    <row r="43" spans="1:27" ht="15" thickBot="1" x14ac:dyDescent="0.35">
      <c r="A43" s="372"/>
      <c r="B43" s="373">
        <v>355</v>
      </c>
      <c r="C43" s="361"/>
      <c r="D43" s="373">
        <v>355</v>
      </c>
      <c r="E43" s="361"/>
      <c r="F43" s="373">
        <v>355</v>
      </c>
      <c r="G43" s="361"/>
      <c r="H43" s="373">
        <v>800</v>
      </c>
      <c r="I43" s="361"/>
      <c r="J43" s="373">
        <v>800</v>
      </c>
      <c r="K43" s="361"/>
      <c r="L43" s="373">
        <v>500</v>
      </c>
      <c r="M43" s="361"/>
      <c r="N43" s="313">
        <v>400</v>
      </c>
      <c r="O43" s="361"/>
      <c r="P43" s="373">
        <v>400</v>
      </c>
      <c r="Q43" s="361"/>
      <c r="R43" s="313"/>
      <c r="S43" s="379" t="s">
        <v>14</v>
      </c>
      <c r="T43" s="747"/>
      <c r="U43" s="967">
        <f>(SUMPRODUCT(Q36:Q52,'Transportsystemer, faktorer'!Q39:Q55)+Q57*1000)*'Transportsystemer, faktorer'!E65</f>
        <v>0</v>
      </c>
      <c r="W43" s="313"/>
      <c r="X43" s="313"/>
      <c r="Y43" s="313"/>
      <c r="Z43" s="313"/>
      <c r="AA43" s="313"/>
    </row>
    <row r="44" spans="1:27" x14ac:dyDescent="0.3">
      <c r="A44" s="372"/>
      <c r="B44" s="373">
        <v>400</v>
      </c>
      <c r="C44" s="361"/>
      <c r="D44" s="373">
        <v>400</v>
      </c>
      <c r="E44" s="361"/>
      <c r="F44" s="373">
        <v>400</v>
      </c>
      <c r="G44" s="361"/>
      <c r="H44" s="373">
        <v>1000</v>
      </c>
      <c r="I44" s="361"/>
      <c r="J44" s="373">
        <v>1000</v>
      </c>
      <c r="K44" s="361"/>
      <c r="L44" s="373">
        <v>600</v>
      </c>
      <c r="M44" s="361"/>
      <c r="N44" s="313">
        <v>450</v>
      </c>
      <c r="O44" s="361"/>
      <c r="P44" s="373">
        <v>450</v>
      </c>
      <c r="Q44" s="361"/>
      <c r="R44" s="313"/>
      <c r="S44" s="412"/>
      <c r="T44" s="313"/>
      <c r="U44" s="746"/>
      <c r="V44" s="313"/>
      <c r="W44" s="313"/>
      <c r="X44" s="313"/>
      <c r="Y44" s="313"/>
      <c r="Z44" s="313"/>
      <c r="AA44" s="313"/>
    </row>
    <row r="45" spans="1:27" x14ac:dyDescent="0.3">
      <c r="A45" s="372"/>
      <c r="B45" s="373">
        <v>450</v>
      </c>
      <c r="C45" s="361"/>
      <c r="D45" s="373">
        <v>450</v>
      </c>
      <c r="E45" s="361"/>
      <c r="F45" s="373">
        <v>450</v>
      </c>
      <c r="G45" s="361"/>
      <c r="H45" s="373">
        <v>1200</v>
      </c>
      <c r="I45" s="361"/>
      <c r="J45" s="373">
        <v>1200</v>
      </c>
      <c r="K45" s="361"/>
      <c r="L45" s="373">
        <v>700</v>
      </c>
      <c r="M45" s="361"/>
      <c r="N45" s="313">
        <v>500</v>
      </c>
      <c r="O45" s="361"/>
      <c r="P45" s="373">
        <v>500</v>
      </c>
      <c r="Q45" s="361"/>
      <c r="R45" s="313"/>
      <c r="S45" s="371"/>
      <c r="T45" s="314"/>
      <c r="U45" s="748"/>
      <c r="V45" s="313"/>
      <c r="W45" s="313"/>
      <c r="X45" s="313"/>
      <c r="Y45" s="313"/>
      <c r="Z45" s="313"/>
      <c r="AA45" s="313"/>
    </row>
    <row r="46" spans="1:27" x14ac:dyDescent="0.3">
      <c r="A46" s="372"/>
      <c r="B46" s="373">
        <v>500</v>
      </c>
      <c r="C46" s="361"/>
      <c r="D46" s="373">
        <v>500</v>
      </c>
      <c r="E46" s="361"/>
      <c r="F46" s="373">
        <v>500</v>
      </c>
      <c r="G46" s="361"/>
      <c r="H46" s="373">
        <v>1400</v>
      </c>
      <c r="I46" s="361"/>
      <c r="J46" s="373">
        <v>1400</v>
      </c>
      <c r="K46" s="361"/>
      <c r="L46" s="373">
        <v>800</v>
      </c>
      <c r="M46" s="361"/>
      <c r="N46" s="313">
        <v>600</v>
      </c>
      <c r="O46" s="361"/>
      <c r="P46" s="373">
        <v>600</v>
      </c>
      <c r="Q46" s="361"/>
      <c r="R46" s="313"/>
      <c r="S46" s="371"/>
      <c r="T46" s="313"/>
      <c r="U46" s="538"/>
      <c r="V46" s="313"/>
      <c r="W46" s="313"/>
      <c r="X46" s="313"/>
      <c r="Y46" s="313"/>
      <c r="Z46" s="313"/>
      <c r="AA46" s="313"/>
    </row>
    <row r="47" spans="1:27" x14ac:dyDescent="0.3">
      <c r="A47" s="372"/>
      <c r="B47" s="373">
        <v>560</v>
      </c>
      <c r="C47" s="361"/>
      <c r="D47" s="373">
        <v>560</v>
      </c>
      <c r="E47" s="361"/>
      <c r="F47" s="373">
        <v>560</v>
      </c>
      <c r="G47" s="361"/>
      <c r="H47" s="373">
        <v>1600</v>
      </c>
      <c r="I47" s="361"/>
      <c r="J47" s="373">
        <v>1600</v>
      </c>
      <c r="K47" s="361"/>
      <c r="L47" s="373">
        <v>900</v>
      </c>
      <c r="M47" s="361"/>
      <c r="N47" s="313">
        <v>700</v>
      </c>
      <c r="O47" s="361"/>
      <c r="P47" s="373">
        <v>700</v>
      </c>
      <c r="Q47" s="361"/>
      <c r="R47" s="313"/>
      <c r="S47" s="371"/>
      <c r="T47" s="313"/>
      <c r="U47" s="538"/>
      <c r="V47" s="313"/>
      <c r="W47" s="313"/>
      <c r="X47" s="313"/>
      <c r="Y47" s="313"/>
      <c r="Z47" s="313"/>
      <c r="AA47" s="313"/>
    </row>
    <row r="48" spans="1:27" x14ac:dyDescent="0.3">
      <c r="A48" s="372"/>
      <c r="B48" s="373">
        <v>630</v>
      </c>
      <c r="C48" s="361"/>
      <c r="D48" s="373">
        <v>630</v>
      </c>
      <c r="E48" s="361"/>
      <c r="F48" s="373">
        <v>630</v>
      </c>
      <c r="G48" s="361"/>
      <c r="H48" s="373">
        <v>1800</v>
      </c>
      <c r="I48" s="361"/>
      <c r="J48" s="373">
        <v>1800</v>
      </c>
      <c r="K48" s="361"/>
      <c r="L48" s="373">
        <v>1000</v>
      </c>
      <c r="M48" s="361"/>
      <c r="N48" s="313">
        <v>800</v>
      </c>
      <c r="O48" s="361"/>
      <c r="P48" s="373">
        <v>800</v>
      </c>
      <c r="Q48" s="361"/>
      <c r="R48" s="313"/>
      <c r="S48" s="371"/>
      <c r="T48" s="313"/>
      <c r="U48" s="538"/>
      <c r="V48" s="313"/>
      <c r="W48" s="313"/>
      <c r="X48" s="313"/>
      <c r="Y48" s="313"/>
      <c r="Z48" s="313"/>
      <c r="AA48" s="313"/>
    </row>
    <row r="49" spans="1:49" x14ac:dyDescent="0.3">
      <c r="A49" s="372"/>
      <c r="B49" s="373">
        <v>710</v>
      </c>
      <c r="C49" s="361"/>
      <c r="D49" s="373"/>
      <c r="E49" s="361"/>
      <c r="F49" s="373"/>
      <c r="G49" s="361"/>
      <c r="H49" s="373">
        <v>2000</v>
      </c>
      <c r="I49" s="361"/>
      <c r="J49" s="373">
        <v>2000</v>
      </c>
      <c r="K49" s="361"/>
      <c r="L49" s="373">
        <v>1200</v>
      </c>
      <c r="M49" s="361"/>
      <c r="N49" s="313">
        <v>900</v>
      </c>
      <c r="O49" s="361"/>
      <c r="P49" s="373">
        <v>900</v>
      </c>
      <c r="Q49" s="361"/>
      <c r="R49" s="313"/>
      <c r="S49" s="371"/>
      <c r="T49" s="313"/>
      <c r="U49" s="538"/>
      <c r="V49" s="313"/>
      <c r="W49" s="313"/>
      <c r="X49" s="313"/>
      <c r="Y49" s="313"/>
      <c r="Z49" s="313"/>
      <c r="AA49" s="313"/>
    </row>
    <row r="50" spans="1:49" x14ac:dyDescent="0.3">
      <c r="A50" s="372"/>
      <c r="B50" s="373">
        <v>800</v>
      </c>
      <c r="C50" s="361"/>
      <c r="D50" s="373"/>
      <c r="E50" s="361"/>
      <c r="F50" s="373"/>
      <c r="G50" s="361"/>
      <c r="H50" s="373">
        <v>2400</v>
      </c>
      <c r="I50" s="361"/>
      <c r="J50" s="373">
        <v>2400</v>
      </c>
      <c r="K50" s="361"/>
      <c r="L50" s="373">
        <v>1400</v>
      </c>
      <c r="M50" s="361"/>
      <c r="N50" s="313"/>
      <c r="O50" s="361"/>
      <c r="P50" s="373">
        <v>1000</v>
      </c>
      <c r="Q50" s="361"/>
      <c r="R50" s="313"/>
      <c r="S50" s="371"/>
      <c r="T50" s="313"/>
      <c r="U50" s="538"/>
      <c r="V50" s="313"/>
      <c r="W50" s="313"/>
      <c r="X50" s="313"/>
      <c r="Y50" s="313"/>
      <c r="Z50" s="313"/>
      <c r="AA50" s="313"/>
    </row>
    <row r="51" spans="1:49" x14ac:dyDescent="0.3">
      <c r="A51" s="372"/>
      <c r="B51" s="373">
        <v>900</v>
      </c>
      <c r="C51" s="361"/>
      <c r="D51" s="373"/>
      <c r="E51" s="361"/>
      <c r="F51" s="373"/>
      <c r="G51" s="361"/>
      <c r="H51" s="373">
        <v>3000</v>
      </c>
      <c r="I51" s="361"/>
      <c r="J51" s="373">
        <v>3000</v>
      </c>
      <c r="K51" s="361"/>
      <c r="L51" s="373">
        <v>1600</v>
      </c>
      <c r="M51" s="361"/>
      <c r="N51" s="313"/>
      <c r="O51" s="361"/>
      <c r="P51" s="373">
        <v>1100</v>
      </c>
      <c r="Q51" s="361"/>
      <c r="R51" s="313"/>
      <c r="S51" s="371"/>
      <c r="T51" s="313"/>
      <c r="U51" s="538"/>
      <c r="V51" s="313"/>
      <c r="W51" s="313"/>
      <c r="X51" s="313"/>
      <c r="Y51" s="313"/>
      <c r="Z51" s="313"/>
      <c r="AA51" s="313"/>
      <c r="AW51" s="313"/>
    </row>
    <row r="52" spans="1:49" ht="15" thickBot="1" x14ac:dyDescent="0.35">
      <c r="A52" s="375"/>
      <c r="B52" s="376">
        <v>1000</v>
      </c>
      <c r="C52" s="369"/>
      <c r="D52" s="376"/>
      <c r="E52" s="369"/>
      <c r="F52" s="376"/>
      <c r="G52" s="369"/>
      <c r="H52" s="376"/>
      <c r="I52" s="369"/>
      <c r="J52" s="376"/>
      <c r="K52" s="369"/>
      <c r="L52" s="376">
        <v>1800</v>
      </c>
      <c r="M52" s="369"/>
      <c r="N52" s="318"/>
      <c r="O52" s="369"/>
      <c r="P52" s="376">
        <v>1200</v>
      </c>
      <c r="Q52" s="369"/>
      <c r="R52" s="313"/>
      <c r="S52" s="371"/>
      <c r="T52" s="313"/>
      <c r="U52" s="538"/>
      <c r="V52" s="313"/>
      <c r="W52" s="313"/>
      <c r="X52" s="313"/>
      <c r="Y52" s="313"/>
      <c r="Z52" s="313"/>
      <c r="AA52" s="313"/>
      <c r="AW52" s="313"/>
    </row>
    <row r="53" spans="1:49" x14ac:dyDescent="0.3">
      <c r="A53" s="313"/>
      <c r="B53" s="313"/>
      <c r="C53" s="313"/>
      <c r="D53" s="313"/>
      <c r="E53" s="313"/>
      <c r="F53" s="313"/>
      <c r="G53" s="313"/>
      <c r="H53" s="313"/>
      <c r="I53" s="313"/>
      <c r="J53" s="313"/>
      <c r="K53" s="313"/>
      <c r="L53" s="313"/>
      <c r="M53" s="313"/>
      <c r="N53" s="313"/>
      <c r="O53" s="313"/>
      <c r="P53" s="313"/>
      <c r="Q53" s="313"/>
      <c r="R53" s="313"/>
      <c r="S53" s="371"/>
      <c r="T53" s="456"/>
      <c r="U53" s="538"/>
      <c r="V53" s="313"/>
      <c r="W53" s="313"/>
      <c r="X53" s="313"/>
      <c r="Y53" s="313"/>
      <c r="Z53" s="313"/>
      <c r="AA53" s="313"/>
      <c r="AW53" s="313"/>
    </row>
    <row r="54" spans="1:49" x14ac:dyDescent="0.3">
      <c r="A54" s="313"/>
      <c r="B54" s="313"/>
      <c r="C54" s="313"/>
      <c r="D54" s="313"/>
      <c r="E54" s="313"/>
      <c r="F54" s="313"/>
      <c r="G54" s="313"/>
      <c r="H54" s="313"/>
      <c r="I54" s="313"/>
      <c r="J54" s="313"/>
      <c r="K54" s="313"/>
      <c r="L54" s="313"/>
      <c r="M54" s="313"/>
      <c r="N54" s="313"/>
      <c r="O54" s="313"/>
      <c r="P54" s="313"/>
      <c r="Q54" s="313"/>
      <c r="R54" s="313"/>
      <c r="S54" s="371"/>
      <c r="T54" s="313"/>
      <c r="U54" s="314"/>
      <c r="V54" s="313"/>
      <c r="W54" s="313"/>
      <c r="X54" s="313"/>
      <c r="Y54" s="313"/>
      <c r="Z54" s="313"/>
      <c r="AA54" s="313"/>
      <c r="AW54" s="313"/>
    </row>
    <row r="55" spans="1:49" ht="15" thickBot="1" x14ac:dyDescent="0.35">
      <c r="A55" s="1139" t="s">
        <v>688</v>
      </c>
      <c r="B55" s="1139"/>
      <c r="C55" s="1139"/>
      <c r="D55" s="1139"/>
      <c r="E55" s="1139"/>
      <c r="F55" s="1139"/>
      <c r="G55" s="1139"/>
      <c r="H55" s="1139"/>
      <c r="I55" s="1139"/>
      <c r="J55" s="1139"/>
      <c r="K55" s="1139"/>
      <c r="L55" s="1139"/>
      <c r="M55" s="1139"/>
      <c r="N55" s="1139"/>
      <c r="O55" s="1139"/>
      <c r="P55" s="1139"/>
      <c r="Q55" s="1139"/>
      <c r="R55" s="997"/>
      <c r="T55" s="314"/>
      <c r="U55" s="313"/>
      <c r="V55" s="313"/>
      <c r="W55" s="456"/>
      <c r="X55" s="456"/>
      <c r="Y55" s="456"/>
      <c r="Z55" s="456"/>
      <c r="AA55" s="456"/>
      <c r="AW55" s="313"/>
    </row>
    <row r="56" spans="1:49" x14ac:dyDescent="0.3">
      <c r="A56" s="335" t="s">
        <v>777</v>
      </c>
      <c r="B56" s="378"/>
      <c r="C56" s="337" t="s">
        <v>705</v>
      </c>
      <c r="D56" s="378"/>
      <c r="E56" s="337" t="s">
        <v>705</v>
      </c>
      <c r="F56" s="378"/>
      <c r="G56" s="337" t="s">
        <v>705</v>
      </c>
      <c r="H56" s="378"/>
      <c r="I56" s="337" t="s">
        <v>705</v>
      </c>
      <c r="J56" s="378"/>
      <c r="K56" s="337" t="s">
        <v>705</v>
      </c>
      <c r="L56" s="378"/>
      <c r="M56" s="337" t="s">
        <v>705</v>
      </c>
      <c r="N56" s="378"/>
      <c r="O56" s="337" t="s">
        <v>705</v>
      </c>
      <c r="P56" s="307"/>
      <c r="Q56" s="337" t="s">
        <v>705</v>
      </c>
      <c r="R56" s="314"/>
      <c r="V56" s="385"/>
      <c r="W56" s="456"/>
      <c r="X56" s="385"/>
      <c r="Y56" s="314"/>
      <c r="Z56" s="313"/>
      <c r="AA56" s="314"/>
      <c r="AW56" s="313"/>
    </row>
    <row r="57" spans="1:49" ht="15" thickBot="1" x14ac:dyDescent="0.35">
      <c r="A57" s="375"/>
      <c r="B57" s="379" t="s">
        <v>3</v>
      </c>
      <c r="C57" s="369">
        <v>1</v>
      </c>
      <c r="D57" s="379" t="s">
        <v>7</v>
      </c>
      <c r="E57" s="369">
        <v>0</v>
      </c>
      <c r="F57" s="379" t="s">
        <v>8</v>
      </c>
      <c r="G57" s="369">
        <v>0</v>
      </c>
      <c r="H57" s="379" t="s">
        <v>5</v>
      </c>
      <c r="I57" s="369"/>
      <c r="J57" s="379" t="s">
        <v>6</v>
      </c>
      <c r="K57" s="369">
        <v>0</v>
      </c>
      <c r="L57" s="379" t="s">
        <v>9</v>
      </c>
      <c r="M57" s="369">
        <v>0</v>
      </c>
      <c r="N57" s="379" t="s">
        <v>553</v>
      </c>
      <c r="O57" s="369">
        <v>0</v>
      </c>
      <c r="P57" s="380" t="s">
        <v>14</v>
      </c>
      <c r="Q57" s="369">
        <v>0</v>
      </c>
      <c r="R57" s="374"/>
      <c r="V57" s="456"/>
      <c r="W57" s="385"/>
      <c r="X57" s="456"/>
      <c r="Y57" s="313"/>
      <c r="Z57" s="314"/>
      <c r="AA57" s="313"/>
      <c r="AW57" s="313"/>
    </row>
    <row r="58" spans="1:49" ht="15" thickBot="1" x14ac:dyDescent="0.35">
      <c r="A58" s="381"/>
      <c r="R58" s="331"/>
      <c r="AW58" s="313"/>
    </row>
    <row r="59" spans="1:49" ht="15" thickBot="1" x14ac:dyDescent="0.35">
      <c r="A59" s="313"/>
      <c r="B59" s="382" t="s">
        <v>709</v>
      </c>
      <c r="C59" s="383"/>
      <c r="D59" s="383"/>
      <c r="E59" s="383"/>
      <c r="F59" s="383"/>
      <c r="G59" s="531"/>
      <c r="H59" s="531"/>
      <c r="I59" s="531"/>
      <c r="J59" s="531"/>
      <c r="K59" s="531"/>
      <c r="L59" s="531"/>
      <c r="M59" s="532"/>
      <c r="N59" s="385"/>
      <c r="O59" s="385"/>
      <c r="P59" s="385"/>
      <c r="Q59" s="385"/>
      <c r="R59" s="313"/>
      <c r="S59" s="415" t="s">
        <v>987</v>
      </c>
      <c r="T59" s="1261" t="s">
        <v>906</v>
      </c>
      <c r="U59" s="1261"/>
      <c r="V59" s="1261"/>
      <c r="W59" s="1261" t="s">
        <v>917</v>
      </c>
      <c r="X59" s="1261"/>
      <c r="Y59" s="1261"/>
      <c r="Z59" s="1155" t="s">
        <v>918</v>
      </c>
      <c r="AA59" s="1155"/>
      <c r="AB59" s="1156"/>
      <c r="AW59" s="313"/>
    </row>
    <row r="60" spans="1:49" ht="15.6" x14ac:dyDescent="0.3">
      <c r="B60" s="386"/>
      <c r="C60" s="749" t="s">
        <v>986</v>
      </c>
      <c r="D60" s="349" t="s">
        <v>710</v>
      </c>
      <c r="E60" s="349" t="s">
        <v>711</v>
      </c>
      <c r="F60" s="362" t="s">
        <v>712</v>
      </c>
      <c r="G60" s="529" t="s">
        <v>891</v>
      </c>
      <c r="H60" s="529" t="s">
        <v>892</v>
      </c>
      <c r="I60" s="529" t="s">
        <v>893</v>
      </c>
      <c r="J60" s="529" t="s">
        <v>890</v>
      </c>
      <c r="K60" s="529" t="s">
        <v>894</v>
      </c>
      <c r="L60" s="314" t="s">
        <v>895</v>
      </c>
      <c r="M60" s="530" t="s">
        <v>901</v>
      </c>
      <c r="S60" s="654"/>
      <c r="T60" s="307" t="s">
        <v>558</v>
      </c>
      <c r="U60" s="307" t="s">
        <v>559</v>
      </c>
      <c r="V60" s="307" t="s">
        <v>560</v>
      </c>
      <c r="W60" s="378" t="s">
        <v>558</v>
      </c>
      <c r="X60" s="307" t="s">
        <v>559</v>
      </c>
      <c r="Y60" s="419" t="s">
        <v>560</v>
      </c>
      <c r="Z60" s="307" t="s">
        <v>558</v>
      </c>
      <c r="AA60" s="307" t="s">
        <v>559</v>
      </c>
      <c r="AB60" s="419" t="s">
        <v>560</v>
      </c>
      <c r="AW60" s="313"/>
    </row>
    <row r="61" spans="1:49" x14ac:dyDescent="0.3">
      <c r="A61" s="314"/>
      <c r="B61" s="373" t="s">
        <v>3</v>
      </c>
      <c r="C61" s="442">
        <f>SUMPRODUCT(C36:C52,'Transportsystemer, faktorer'!C39:C55)/1000+C57</f>
        <v>1</v>
      </c>
      <c r="D61" s="360">
        <v>100</v>
      </c>
      <c r="E61" s="360">
        <v>100</v>
      </c>
      <c r="F61" s="315">
        <v>100</v>
      </c>
      <c r="G61" s="428" t="s">
        <v>865</v>
      </c>
      <c r="H61" s="484" t="s">
        <v>648</v>
      </c>
      <c r="I61" s="484" t="s">
        <v>871</v>
      </c>
      <c r="J61" s="484" t="s">
        <v>868</v>
      </c>
      <c r="K61" s="899">
        <f>_xlfn.XLOOKUP(G61,'Utslippsfaktorer Transport'!$A$10:$A$19,'Utslippsfaktorer Transport'!$B$10:$B$19)*_xlfn.XLOOKUP(H61,'Utslippsfaktorer Transport'!$A$34:$A$52,'Utslippsfaktorer Transport'!$E$34:$E$52)</f>
        <v>64.47</v>
      </c>
      <c r="L61" s="900">
        <f>_xlfn.XLOOKUP(I61,'Utslippsfaktorer Transport'!$A$27:$A$29,'Utslippsfaktorer Transport'!$F$27:$F$29)</f>
        <v>17.5</v>
      </c>
      <c r="M61" s="901">
        <f>_xlfn.XLOOKUP(J61,'Utslippsfaktorer Transport'!$A$23:$A$25,'Utslippsfaktorer Transport'!$C$23:$C$25)</f>
        <v>0</v>
      </c>
      <c r="S61" s="868" t="str">
        <f>B61</f>
        <v>PE</v>
      </c>
      <c r="T61" s="442">
        <f>C61*D61*_xlfn.XLOOKUP(G61,'Utslippsfaktorer Transport'!$A$9:$A$19,'Utslippsfaktorer Transport'!$B$9:$B$19)*_xlfn.XLOOKUP(H61,'Utslippsfaktorer Transport'!$A$33:$A$49,'Utslippsfaktorer Transport'!$B$33:$B$49)/1000</f>
        <v>5.1239999999999997</v>
      </c>
      <c r="U61" s="442">
        <f>C61*D61*_xlfn.XLOOKUP(G61,'Utslippsfaktorer Transport'!$A$9:$A$19,'Utslippsfaktorer Transport'!$B$9:$B$19)*_xlfn.XLOOKUP(H61,'Utslippsfaktorer Transport'!$A$33:$A$49,'Utslippsfaktorer Transport'!$C$33:$C$49)/1000</f>
        <v>0</v>
      </c>
      <c r="V61" s="442">
        <f>C61*D61*_xlfn.XLOOKUP(G61,'Utslippsfaktorer Transport'!$A$9:$A$19,'Utslippsfaktorer Transport'!$B$9:$B$19)*_xlfn.XLOOKUP(H61,'Utslippsfaktorer Transport'!$A$33:$A$49,'Utslippsfaktorer Transport'!$D$33:$D$49)/1000</f>
        <v>1.323</v>
      </c>
      <c r="W61" s="968">
        <f>C61*E61*_xlfn.XLOOKUP(I61,'Utslippsfaktorer Transport'!$A$26:$A$29,'Utslippsfaktorer Transport'!$F$26:$F$29)/1000</f>
        <v>1.75</v>
      </c>
      <c r="X61" s="904">
        <f>C61*E61*_xlfn.XLOOKUP(I61,'Utslippsfaktorer Transport'!$A$26:$A$29,'Utslippsfaktorer Transport'!$G$26:$G$29)/1000</f>
        <v>0</v>
      </c>
      <c r="Y61" s="969">
        <f>C61*E61*_xlfn.XLOOKUP(I61,'Utslippsfaktorer Transport'!$A$26:$A$29,'Utslippsfaktorer Transport'!$H$26:$H$29)/1000</f>
        <v>0</v>
      </c>
      <c r="Z61" s="442">
        <f>C61*F61*_xlfn.XLOOKUP(J61,'Utslippsfaktorer Transport'!$A$23:$A$25,'Utslippsfaktorer Transport'!$C$23:$C$25)/1000</f>
        <v>0</v>
      </c>
      <c r="AA61" s="442">
        <f>C61*F61*_xlfn.XLOOKUP(J61,'Utslippsfaktorer Transport'!$A$23:$A$25,'Utslippsfaktorer Transport'!$D$23:$D$25)/1000</f>
        <v>1.6399999999999997</v>
      </c>
      <c r="AB61" s="902">
        <f>C61*F61*_xlfn.XLOOKUP(J61,'Utslippsfaktorer Transport'!$A$23:$A$25,'Utslippsfaktorer Transport'!$E$23:$E$25)/1000</f>
        <v>0</v>
      </c>
      <c r="AW61" s="313"/>
    </row>
    <row r="62" spans="1:49" x14ac:dyDescent="0.3">
      <c r="A62" s="313"/>
      <c r="B62" s="373" t="s">
        <v>7</v>
      </c>
      <c r="C62" s="442">
        <f>SUMPRODUCT('Transportsystemer, faktorer'!E39:E55,E36:E52)/1000+E57</f>
        <v>0</v>
      </c>
      <c r="D62" s="360">
        <v>0</v>
      </c>
      <c r="E62" s="360">
        <v>0</v>
      </c>
      <c r="F62" s="315">
        <v>0</v>
      </c>
      <c r="G62" s="428" t="s">
        <v>865</v>
      </c>
      <c r="H62" s="360" t="s">
        <v>648</v>
      </c>
      <c r="I62" s="360" t="s">
        <v>871</v>
      </c>
      <c r="J62" s="360" t="s">
        <v>868</v>
      </c>
      <c r="K62" s="374">
        <v>64.47</v>
      </c>
      <c r="L62" s="442">
        <f>_xlfn.XLOOKUP(I62,'Utslippsfaktorer Transport'!$A$27:$A$29,'Utslippsfaktorer Transport'!$F$27:$F$29)</f>
        <v>17.5</v>
      </c>
      <c r="M62" s="902">
        <f>_xlfn.XLOOKUP(J62,'Utslippsfaktorer Transport'!$A$23:$A$25,'Utslippsfaktorer Transport'!$C$23:$C$25)</f>
        <v>0</v>
      </c>
      <c r="S62" s="868" t="str">
        <f t="shared" ref="S62:S68" si="4">B62</f>
        <v>PP</v>
      </c>
      <c r="T62" s="442">
        <f>C62*D62*_xlfn.XLOOKUP(G62,'Utslippsfaktorer Transport'!$A$9:$A$19,'Utslippsfaktorer Transport'!$B$9:$B$19)*_xlfn.XLOOKUP(H62,'Utslippsfaktorer Transport'!$A$33:$A$49,'Utslippsfaktorer Transport'!$B$33:$B$49)/1000</f>
        <v>0</v>
      </c>
      <c r="U62" s="442">
        <f>C62*D62*_xlfn.XLOOKUP(G62,'Utslippsfaktorer Transport'!$A$9:$A$19,'Utslippsfaktorer Transport'!$B$9:$B$19)*_xlfn.XLOOKUP(H62,'Utslippsfaktorer Transport'!$A$33:$A$49,'Utslippsfaktorer Transport'!$C$33:$C$49)/1000</f>
        <v>0</v>
      </c>
      <c r="V62" s="442">
        <f>C62*D62*_xlfn.XLOOKUP(G62,'Utslippsfaktorer Transport'!$A$9:$A$19,'Utslippsfaktorer Transport'!$B$9:$B$19)*_xlfn.XLOOKUP(H62,'Utslippsfaktorer Transport'!$A$33:$A$49,'Utslippsfaktorer Transport'!$D$33:$D$49)/1000</f>
        <v>0</v>
      </c>
      <c r="W62" s="968">
        <f>C62*E62*_xlfn.XLOOKUP(I62,'Utslippsfaktorer Transport'!$A$26:$A$29,'Utslippsfaktorer Transport'!$F$26:$F$29)/1000</f>
        <v>0</v>
      </c>
      <c r="X62" s="904">
        <f>C62*E62*_xlfn.XLOOKUP(I62,'Utslippsfaktorer Transport'!$A$26:$A$29,'Utslippsfaktorer Transport'!$G$26:$G$29)/1000</f>
        <v>0</v>
      </c>
      <c r="Y62" s="969">
        <f>C62*E62*_xlfn.XLOOKUP(I62,'Utslippsfaktorer Transport'!$A$26:$A$29,'Utslippsfaktorer Transport'!$H$26:$H$29)/1000</f>
        <v>0</v>
      </c>
      <c r="Z62" s="442">
        <f>C62*F62*_xlfn.XLOOKUP(J62,'Utslippsfaktorer Transport'!$A$23:$A$25,'Utslippsfaktorer Transport'!$C$23:$C$25)/1000</f>
        <v>0</v>
      </c>
      <c r="AA62" s="442">
        <f>C62*F62*_xlfn.XLOOKUP(J62,'Utslippsfaktorer Transport'!$A$23:$A$25,'Utslippsfaktorer Transport'!$D$23:$D$25)/1000</f>
        <v>0</v>
      </c>
      <c r="AB62" s="902">
        <f>C62*F62*_xlfn.XLOOKUP(J62,'Utslippsfaktorer Transport'!$A$23:$A$25,'Utslippsfaktorer Transport'!$E$23:$E$25)/1000</f>
        <v>0</v>
      </c>
      <c r="AW62" s="313"/>
    </row>
    <row r="63" spans="1:49" x14ac:dyDescent="0.3">
      <c r="A63" s="313"/>
      <c r="B63" s="387" t="s">
        <v>8</v>
      </c>
      <c r="C63" s="442">
        <f>SUMPRODUCT(G36:G52,'Transportsystemer, faktorer'!G39:G55)/1000+G57</f>
        <v>0</v>
      </c>
      <c r="D63" s="360">
        <v>0</v>
      </c>
      <c r="E63" s="360">
        <v>0</v>
      </c>
      <c r="F63" s="315">
        <v>0</v>
      </c>
      <c r="G63" s="428" t="s">
        <v>865</v>
      </c>
      <c r="H63" s="360" t="s">
        <v>648</v>
      </c>
      <c r="I63" s="360" t="s">
        <v>871</v>
      </c>
      <c r="J63" s="360" t="s">
        <v>868</v>
      </c>
      <c r="K63" s="374">
        <v>64.47</v>
      </c>
      <c r="L63" s="442">
        <f>_xlfn.XLOOKUP(I63,'Utslippsfaktorer Transport'!$A$27:$A$29,'Utslippsfaktorer Transport'!$F$27:$F$29)</f>
        <v>17.5</v>
      </c>
      <c r="M63" s="902">
        <f>_xlfn.XLOOKUP(J63,'Utslippsfaktorer Transport'!$A$23:$A$25,'Utslippsfaktorer Transport'!$C$23:$C$25)</f>
        <v>0</v>
      </c>
      <c r="S63" s="868" t="str">
        <f t="shared" si="4"/>
        <v>PVC</v>
      </c>
      <c r="T63" s="442">
        <f>C63*D63*_xlfn.XLOOKUP(G63,'Utslippsfaktorer Transport'!$A$9:$A$19,'Utslippsfaktorer Transport'!$B$9:$B$19)*_xlfn.XLOOKUP(H63,'Utslippsfaktorer Transport'!$A$33:$A$49,'Utslippsfaktorer Transport'!$B$33:$B$49)/1000</f>
        <v>0</v>
      </c>
      <c r="U63" s="442">
        <f>C63*D63*_xlfn.XLOOKUP(G63,'Utslippsfaktorer Transport'!$A$9:$A$19,'Utslippsfaktorer Transport'!$B$9:$B$19)*_xlfn.XLOOKUP(H63,'Utslippsfaktorer Transport'!$A$33:$A$49,'Utslippsfaktorer Transport'!$C$33:$C$49)/1000</f>
        <v>0</v>
      </c>
      <c r="V63" s="442">
        <f>C63*D63*_xlfn.XLOOKUP(G63,'Utslippsfaktorer Transport'!$A$9:$A$19,'Utslippsfaktorer Transport'!$B$9:$B$19)*_xlfn.XLOOKUP(H63,'Utslippsfaktorer Transport'!$A$33:$A$49,'Utslippsfaktorer Transport'!$D$33:$D$49)/1000</f>
        <v>0</v>
      </c>
      <c r="W63" s="968">
        <f>C63*E63*_xlfn.XLOOKUP(I63,'Utslippsfaktorer Transport'!$A$26:$A$29,'Utslippsfaktorer Transport'!$F$26:$F$29)/1000</f>
        <v>0</v>
      </c>
      <c r="X63" s="904">
        <f>C63*E63*_xlfn.XLOOKUP(I63,'Utslippsfaktorer Transport'!$A$26:$A$29,'Utslippsfaktorer Transport'!$G$26:$G$29)/1000</f>
        <v>0</v>
      </c>
      <c r="Y63" s="969">
        <f>C63*E63*_xlfn.XLOOKUP(I63,'Utslippsfaktorer Transport'!$A$26:$A$29,'Utslippsfaktorer Transport'!$H$26:$H$29)/1000</f>
        <v>0</v>
      </c>
      <c r="Z63" s="442">
        <f>C63*F63*_xlfn.XLOOKUP(J63,'Utslippsfaktorer Transport'!$A$23:$A$25,'Utslippsfaktorer Transport'!$C$23:$C$25)/1000</f>
        <v>0</v>
      </c>
      <c r="AA63" s="442">
        <f>C63*F63*_xlfn.XLOOKUP(J63,'Utslippsfaktorer Transport'!$A$23:$A$25,'Utslippsfaktorer Transport'!$D$23:$D$25)/1000</f>
        <v>0</v>
      </c>
      <c r="AB63" s="902">
        <f>C63*F63*_xlfn.XLOOKUP(J63,'Utslippsfaktorer Transport'!$A$23:$A$25,'Utslippsfaktorer Transport'!$E$23:$E$25)/1000</f>
        <v>0</v>
      </c>
      <c r="AW63" s="313"/>
    </row>
    <row r="64" spans="1:49" x14ac:dyDescent="0.3">
      <c r="B64" s="373" t="s">
        <v>5</v>
      </c>
      <c r="C64" s="442">
        <f>SUMPRODUCT(I36:I51,'Transportsystemer, faktorer'!I39:I54)/1000+I57</f>
        <v>0</v>
      </c>
      <c r="D64" s="360">
        <v>0</v>
      </c>
      <c r="E64" s="360">
        <v>0</v>
      </c>
      <c r="F64" s="315">
        <v>0</v>
      </c>
      <c r="G64" s="428" t="s">
        <v>865</v>
      </c>
      <c r="H64" s="360" t="s">
        <v>648</v>
      </c>
      <c r="I64" s="360" t="s">
        <v>871</v>
      </c>
      <c r="J64" s="360" t="s">
        <v>868</v>
      </c>
      <c r="K64" s="374">
        <v>64.47</v>
      </c>
      <c r="L64" s="442">
        <f>_xlfn.XLOOKUP(I64,'Utslippsfaktorer Transport'!$A$27:$A$29,'Utslippsfaktorer Transport'!$F$27:$F$29)</f>
        <v>17.5</v>
      </c>
      <c r="M64" s="902">
        <f>_xlfn.XLOOKUP(J64,'Utslippsfaktorer Transport'!$A$23:$A$25,'Utslippsfaktorer Transport'!$C$23:$C$25)</f>
        <v>0</v>
      </c>
      <c r="S64" s="868" t="str">
        <f t="shared" si="4"/>
        <v>Betong</v>
      </c>
      <c r="T64" s="442">
        <f>C64*D64*_xlfn.XLOOKUP(G64,'Utslippsfaktorer Transport'!$A$9:$A$19,'Utslippsfaktorer Transport'!$B$9:$B$19)*_xlfn.XLOOKUP(H64,'Utslippsfaktorer Transport'!$A$33:$A$49,'Utslippsfaktorer Transport'!$B$33:$B$49)/1000</f>
        <v>0</v>
      </c>
      <c r="U64" s="442">
        <f>C64*D64*_xlfn.XLOOKUP(G64,'Utslippsfaktorer Transport'!$A$9:$A$19,'Utslippsfaktorer Transport'!$B$9:$B$19)*_xlfn.XLOOKUP(H64,'Utslippsfaktorer Transport'!$A$33:$A$49,'Utslippsfaktorer Transport'!$C$33:$C$49)/1000</f>
        <v>0</v>
      </c>
      <c r="V64" s="442">
        <f>C64*D64*_xlfn.XLOOKUP(G64,'Utslippsfaktorer Transport'!$A$9:$A$19,'Utslippsfaktorer Transport'!$B$9:$B$19)*_xlfn.XLOOKUP(H64,'Utslippsfaktorer Transport'!$A$33:$A$49,'Utslippsfaktorer Transport'!$D$33:$D$49)/1000</f>
        <v>0</v>
      </c>
      <c r="W64" s="968">
        <f>C64*E64*_xlfn.XLOOKUP(I64,'Utslippsfaktorer Transport'!$A$26:$A$29,'Utslippsfaktorer Transport'!$F$26:$F$29)/1000</f>
        <v>0</v>
      </c>
      <c r="X64" s="904">
        <f>C64*E64*_xlfn.XLOOKUP(I64,'Utslippsfaktorer Transport'!$A$26:$A$29,'Utslippsfaktorer Transport'!$G$26:$G$29)/1000</f>
        <v>0</v>
      </c>
      <c r="Y64" s="969">
        <f>C64*E64*_xlfn.XLOOKUP(I64,'Utslippsfaktorer Transport'!$A$26:$A$29,'Utslippsfaktorer Transport'!$H$26:$H$29)/1000</f>
        <v>0</v>
      </c>
      <c r="Z64" s="442">
        <f>C64*F64*_xlfn.XLOOKUP(J64,'Utslippsfaktorer Transport'!$A$23:$A$25,'Utslippsfaktorer Transport'!$C$23:$C$25)/1000</f>
        <v>0</v>
      </c>
      <c r="AA64" s="442">
        <f>C64*F64*_xlfn.XLOOKUP(J64,'Utslippsfaktorer Transport'!$A$23:$A$25,'Utslippsfaktorer Transport'!$D$23:$D$25)/1000</f>
        <v>0</v>
      </c>
      <c r="AB64" s="902">
        <f>C64*F64*_xlfn.XLOOKUP(J64,'Utslippsfaktorer Transport'!$A$23:$A$25,'Utslippsfaktorer Transport'!$E$23:$E$25)/1000</f>
        <v>0</v>
      </c>
      <c r="AW64" s="313"/>
    </row>
    <row r="65" spans="2:49" x14ac:dyDescent="0.3">
      <c r="B65" s="373" t="s">
        <v>6</v>
      </c>
      <c r="C65" s="442">
        <f>SUMPRODUCT(K36:K52,'Transportsystemer, faktorer'!K39:K55)/1000+K57</f>
        <v>0</v>
      </c>
      <c r="D65" s="360">
        <v>0</v>
      </c>
      <c r="E65" s="360">
        <v>0</v>
      </c>
      <c r="F65" s="315">
        <v>0</v>
      </c>
      <c r="G65" s="428" t="s">
        <v>865</v>
      </c>
      <c r="H65" s="360" t="s">
        <v>648</v>
      </c>
      <c r="I65" s="360" t="s">
        <v>871</v>
      </c>
      <c r="J65" s="360" t="s">
        <v>868</v>
      </c>
      <c r="K65" s="374">
        <v>64.47</v>
      </c>
      <c r="L65" s="442">
        <f>_xlfn.XLOOKUP(I65,'Utslippsfaktorer Transport'!$A$27:$A$29,'Utslippsfaktorer Transport'!$F$27:$F$29)</f>
        <v>17.5</v>
      </c>
      <c r="M65" s="902">
        <f>_xlfn.XLOOKUP(J65,'Utslippsfaktorer Transport'!$A$23:$A$25,'Utslippsfaktorer Transport'!$C$23:$C$25)</f>
        <v>0</v>
      </c>
      <c r="S65" s="868" t="str">
        <f t="shared" si="4"/>
        <v>GRP</v>
      </c>
      <c r="T65" s="442">
        <f>C65*D65*_xlfn.XLOOKUP(G65,'Utslippsfaktorer Transport'!$A$9:$A$19,'Utslippsfaktorer Transport'!$B$9:$B$19)*_xlfn.XLOOKUP(H65,'Utslippsfaktorer Transport'!$A$33:$A$49,'Utslippsfaktorer Transport'!$B$33:$B$49)/1000</f>
        <v>0</v>
      </c>
      <c r="U65" s="442">
        <f>C65*D65*_xlfn.XLOOKUP(G65,'Utslippsfaktorer Transport'!$A$9:$A$19,'Utslippsfaktorer Transport'!$B$9:$B$19)*_xlfn.XLOOKUP(H65,'Utslippsfaktorer Transport'!$A$33:$A$49,'Utslippsfaktorer Transport'!$C$33:$C$49)/1000</f>
        <v>0</v>
      </c>
      <c r="V65" s="442">
        <f>C65*D65*_xlfn.XLOOKUP(G65,'Utslippsfaktorer Transport'!$A$9:$A$19,'Utslippsfaktorer Transport'!$B$9:$B$19)*_xlfn.XLOOKUP(H65,'Utslippsfaktorer Transport'!$A$33:$A$49,'Utslippsfaktorer Transport'!$D$33:$D$49)/1000</f>
        <v>0</v>
      </c>
      <c r="W65" s="968">
        <f>C65*E65*_xlfn.XLOOKUP(I65,'Utslippsfaktorer Transport'!$A$26:$A$29,'Utslippsfaktorer Transport'!$F$26:$F$29)/1000</f>
        <v>0</v>
      </c>
      <c r="X65" s="904">
        <f>C65*E65*_xlfn.XLOOKUP(I65,'Utslippsfaktorer Transport'!$A$26:$A$29,'Utslippsfaktorer Transport'!$G$26:$G$29)/1000</f>
        <v>0</v>
      </c>
      <c r="Y65" s="969">
        <f>C65*E65*_xlfn.XLOOKUP(I65,'Utslippsfaktorer Transport'!$A$26:$A$29,'Utslippsfaktorer Transport'!$H$26:$H$29)/1000</f>
        <v>0</v>
      </c>
      <c r="Z65" s="442">
        <f>C65*F65*_xlfn.XLOOKUP(J65,'Utslippsfaktorer Transport'!$A$23:$A$25,'Utslippsfaktorer Transport'!$C$23:$C$25)/1000</f>
        <v>0</v>
      </c>
      <c r="AA65" s="442">
        <f>C65*F65*_xlfn.XLOOKUP(J65,'Utslippsfaktorer Transport'!$A$23:$A$25,'Utslippsfaktorer Transport'!$D$23:$D$25)/1000</f>
        <v>0</v>
      </c>
      <c r="AB65" s="902">
        <f>C65*F65*_xlfn.XLOOKUP(J65,'Utslippsfaktorer Transport'!$A$23:$A$25,'Utslippsfaktorer Transport'!$E$23:$E$25)/1000</f>
        <v>0</v>
      </c>
      <c r="AW65" s="313"/>
    </row>
    <row r="66" spans="2:49" x14ac:dyDescent="0.3">
      <c r="B66" s="387" t="s">
        <v>9</v>
      </c>
      <c r="C66" s="442">
        <f>SUMPRODUCT(M36:M52,'Transportsystemer, faktorer'!M39:M55)/1000+M57</f>
        <v>0</v>
      </c>
      <c r="D66" s="360">
        <v>0</v>
      </c>
      <c r="E66" s="360">
        <v>0</v>
      </c>
      <c r="F66" s="315">
        <v>0</v>
      </c>
      <c r="G66" s="428" t="s">
        <v>865</v>
      </c>
      <c r="H66" s="360" t="s">
        <v>648</v>
      </c>
      <c r="I66" s="360" t="s">
        <v>871</v>
      </c>
      <c r="J66" s="360" t="s">
        <v>868</v>
      </c>
      <c r="K66" s="374">
        <v>64.47</v>
      </c>
      <c r="L66" s="442">
        <f>_xlfn.XLOOKUP(I66,'Utslippsfaktorer Transport'!$A$27:$A$29,'Utslippsfaktorer Transport'!$F$27:$F$29)</f>
        <v>17.5</v>
      </c>
      <c r="M66" s="902">
        <f>_xlfn.XLOOKUP(J66,'Utslippsfaktorer Transport'!$A$23:$A$25,'Utslippsfaktorer Transport'!$C$23:$C$25)</f>
        <v>0</v>
      </c>
      <c r="S66" s="868" t="str">
        <f t="shared" si="4"/>
        <v>Støpejern</v>
      </c>
      <c r="T66" s="442">
        <f>C66*D66*_xlfn.XLOOKUP(G66,'Utslippsfaktorer Transport'!$A$9:$A$19,'Utslippsfaktorer Transport'!$B$9:$B$19)*_xlfn.XLOOKUP(H66,'Utslippsfaktorer Transport'!$A$33:$A$49,'Utslippsfaktorer Transport'!$B$33:$B$49)/1000</f>
        <v>0</v>
      </c>
      <c r="U66" s="442">
        <f>C66*D66*_xlfn.XLOOKUP(G66,'Utslippsfaktorer Transport'!$A$9:$A$19,'Utslippsfaktorer Transport'!$B$9:$B$19)*_xlfn.XLOOKUP(H66,'Utslippsfaktorer Transport'!$A$33:$A$49,'Utslippsfaktorer Transport'!$C$33:$C$49)/1000</f>
        <v>0</v>
      </c>
      <c r="V66" s="442">
        <f>C66*D66*_xlfn.XLOOKUP(G66,'Utslippsfaktorer Transport'!$A$9:$A$19,'Utslippsfaktorer Transport'!$B$9:$B$19)*_xlfn.XLOOKUP(H66,'Utslippsfaktorer Transport'!$A$33:$A$49,'Utslippsfaktorer Transport'!$D$33:$D$49)/1000</f>
        <v>0</v>
      </c>
      <c r="W66" s="868">
        <f>C66*E66*_xlfn.XLOOKUP(I66,'Utslippsfaktorer Transport'!$A$26:$A$29,'Utslippsfaktorer Transport'!$F$26:$F$29)/1000</f>
        <v>0</v>
      </c>
      <c r="X66" s="442">
        <f>C66*E66*_xlfn.XLOOKUP(I66,'Utslippsfaktorer Transport'!$A$26:$A$29,'Utslippsfaktorer Transport'!$G$26:$G$29)/1000</f>
        <v>0</v>
      </c>
      <c r="Y66" s="902">
        <f>C66*E66*_xlfn.XLOOKUP(I66,'Utslippsfaktorer Transport'!$A$26:$A$29,'Utslippsfaktorer Transport'!$H$26:$H$29)/1000</f>
        <v>0</v>
      </c>
      <c r="Z66" s="442">
        <f>C66*F66*_xlfn.XLOOKUP(J66,'Utslippsfaktorer Transport'!$A$23:$A$25,'Utslippsfaktorer Transport'!$C$23:$C$25)/1000</f>
        <v>0</v>
      </c>
      <c r="AA66" s="442">
        <f>C66*F66*_xlfn.XLOOKUP(J66,'Utslippsfaktorer Transport'!$A$23:$A$25,'Utslippsfaktorer Transport'!$D$23:$D$25)/1000</f>
        <v>0</v>
      </c>
      <c r="AB66" s="902">
        <f>C66*F66*_xlfn.XLOOKUP(J66,'Utslippsfaktorer Transport'!$A$23:$A$25,'Utslippsfaktorer Transport'!$E$23:$E$25)/1000</f>
        <v>0</v>
      </c>
      <c r="AW66" s="313"/>
    </row>
    <row r="67" spans="2:49" x14ac:dyDescent="0.3">
      <c r="B67" s="387" t="s">
        <v>553</v>
      </c>
      <c r="C67" s="442">
        <f>SUMPRODUCT(O36:O52,'Transportsystemer, faktorer'!O39:O55)/1000+O57</f>
        <v>0</v>
      </c>
      <c r="D67" s="360">
        <v>0</v>
      </c>
      <c r="E67" s="360">
        <v>0</v>
      </c>
      <c r="F67" s="315">
        <v>0</v>
      </c>
      <c r="G67" s="428" t="s">
        <v>865</v>
      </c>
      <c r="H67" s="360" t="s">
        <v>648</v>
      </c>
      <c r="I67" s="360" t="s">
        <v>871</v>
      </c>
      <c r="J67" s="360" t="s">
        <v>868</v>
      </c>
      <c r="K67" s="374">
        <v>64.47</v>
      </c>
      <c r="L67" s="442">
        <f>_xlfn.XLOOKUP(I67,'Utslippsfaktorer Transport'!$A$27:$A$29,'Utslippsfaktorer Transport'!$F$27:$F$29)</f>
        <v>17.5</v>
      </c>
      <c r="M67" s="902">
        <f>_xlfn.XLOOKUP(J67,'Utslippsfaktorer Transport'!$A$23:$A$25,'Utslippsfaktorer Transport'!$C$23:$C$25)</f>
        <v>0</v>
      </c>
      <c r="S67" s="868" t="str">
        <f t="shared" si="4"/>
        <v>Rustfritt stål</v>
      </c>
      <c r="T67" s="442">
        <f>C67*D67*_xlfn.XLOOKUP(G67,'Utslippsfaktorer Transport'!$A$9:$A$19,'Utslippsfaktorer Transport'!$B$9:$B$19)*_xlfn.XLOOKUP(H67,'Utslippsfaktorer Transport'!$A$33:$A$49,'Utslippsfaktorer Transport'!$B$33:$B$49)/1000</f>
        <v>0</v>
      </c>
      <c r="U67" s="442">
        <f>C67*D67*_xlfn.XLOOKUP(G67,'Utslippsfaktorer Transport'!$A$9:$A$19,'Utslippsfaktorer Transport'!$B$9:$B$19)*_xlfn.XLOOKUP(H67,'Utslippsfaktorer Transport'!$A$33:$A$49,'Utslippsfaktorer Transport'!$C$33:$C$49)/1000</f>
        <v>0</v>
      </c>
      <c r="V67" s="442">
        <f>C67*D67*_xlfn.XLOOKUP(G67,'Utslippsfaktorer Transport'!$A$9:$A$19,'Utslippsfaktorer Transport'!$B$9:$B$19)*_xlfn.XLOOKUP(H67,'Utslippsfaktorer Transport'!$A$33:$A$49,'Utslippsfaktorer Transport'!$D$33:$D$49)/1000</f>
        <v>0</v>
      </c>
      <c r="W67" s="868">
        <f>C67*E67*_xlfn.XLOOKUP(I67,'Utslippsfaktorer Transport'!$A$26:$A$29,'Utslippsfaktorer Transport'!$F$26:$F$29)/1000</f>
        <v>0</v>
      </c>
      <c r="X67" s="442">
        <f>C67*E67*_xlfn.XLOOKUP(I67,'Utslippsfaktorer Transport'!$A$26:$A$29,'Utslippsfaktorer Transport'!$G$26:$G$29)/1000</f>
        <v>0</v>
      </c>
      <c r="Y67" s="902">
        <f>C67*E67*_xlfn.XLOOKUP(I67,'Utslippsfaktorer Transport'!$A$26:$A$29,'Utslippsfaktorer Transport'!$H$26:$H$29)/1000</f>
        <v>0</v>
      </c>
      <c r="Z67" s="442">
        <f>C67*F67*_xlfn.XLOOKUP(J67,'Utslippsfaktorer Transport'!$A$23:$A$25,'Utslippsfaktorer Transport'!$C$23:$C$25)/1000</f>
        <v>0</v>
      </c>
      <c r="AA67" s="442">
        <f>C67*F67*_xlfn.XLOOKUP(J67,'Utslippsfaktorer Transport'!$A$23:$A$25,'Utslippsfaktorer Transport'!$D$23:$D$25)/1000</f>
        <v>0</v>
      </c>
      <c r="AB67" s="902">
        <f>C67*F67*_xlfn.XLOOKUP(J67,'Utslippsfaktorer Transport'!$A$23:$A$25,'Utslippsfaktorer Transport'!$E$23:$E$25)/1000</f>
        <v>0</v>
      </c>
      <c r="AW67" s="313"/>
    </row>
    <row r="68" spans="2:49" ht="15" thickBot="1" x14ac:dyDescent="0.35">
      <c r="B68" s="376" t="s">
        <v>14</v>
      </c>
      <c r="C68" s="441">
        <f>SUMPRODUCT(Q36:Q52,'Transportsystemer, faktorer'!Q39:Q55)/1000+Q57</f>
        <v>0</v>
      </c>
      <c r="D68" s="329">
        <v>0</v>
      </c>
      <c r="E68" s="329">
        <v>0</v>
      </c>
      <c r="F68" s="319">
        <v>0</v>
      </c>
      <c r="G68" s="426" t="s">
        <v>865</v>
      </c>
      <c r="H68" s="329" t="s">
        <v>648</v>
      </c>
      <c r="I68" s="329" t="s">
        <v>871</v>
      </c>
      <c r="J68" s="329" t="s">
        <v>868</v>
      </c>
      <c r="K68" s="411">
        <v>64.47</v>
      </c>
      <c r="L68" s="441">
        <f>_xlfn.XLOOKUP(I68,'Utslippsfaktorer Transport'!$A$27:$A$29,'Utslippsfaktorer Transport'!$F$27:$F$29)</f>
        <v>17.5</v>
      </c>
      <c r="M68" s="903">
        <f>_xlfn.XLOOKUP(J68,'Utslippsfaktorer Transport'!$A$23:$A$25,'Utslippsfaktorer Transport'!$C$23:$C$25)</f>
        <v>0</v>
      </c>
      <c r="S68" s="868" t="str">
        <f t="shared" si="4"/>
        <v>Strømperenovering</v>
      </c>
      <c r="T68" s="442">
        <f>C68*D68*_xlfn.XLOOKUP(G68,'Utslippsfaktorer Transport'!$A$9:$A$19,'Utslippsfaktorer Transport'!$B$9:$B$19)*_xlfn.XLOOKUP(H68,'Utslippsfaktorer Transport'!$A$33:$A$49,'Utslippsfaktorer Transport'!$B$33:$B$49)/1000</f>
        <v>0</v>
      </c>
      <c r="U68" s="442">
        <f>C68*D68*_xlfn.XLOOKUP(G68,'Utslippsfaktorer Transport'!$A$9:$A$19,'Utslippsfaktorer Transport'!$B$9:$B$19)*_xlfn.XLOOKUP(H68,'Utslippsfaktorer Transport'!$A$33:$A$49,'Utslippsfaktorer Transport'!$C$33:$C$49)/1000</f>
        <v>0</v>
      </c>
      <c r="V68" s="442">
        <f>C68*D68*_xlfn.XLOOKUP(G68,'Utslippsfaktorer Transport'!$A$9:$A$19,'Utslippsfaktorer Transport'!$B$9:$B$19)*_xlfn.XLOOKUP(H68,'Utslippsfaktorer Transport'!$A$33:$A$49,'Utslippsfaktorer Transport'!$D$33:$D$49)/1000</f>
        <v>0</v>
      </c>
      <c r="W68" s="868">
        <f>C68*E68*_xlfn.XLOOKUP(I68,'Utslippsfaktorer Transport'!$A$26:$A$29,'Utslippsfaktorer Transport'!$F$26:$F$29)/1000</f>
        <v>0</v>
      </c>
      <c r="X68" s="442">
        <f>C68*E68*_xlfn.XLOOKUP(I68,'Utslippsfaktorer Transport'!$A$26:$A$29,'Utslippsfaktorer Transport'!$G$26:$G$29)/1000</f>
        <v>0</v>
      </c>
      <c r="Y68" s="902">
        <f>C68*E68*_xlfn.XLOOKUP(I68,'Utslippsfaktorer Transport'!$A$26:$A$29,'Utslippsfaktorer Transport'!$H$26:$H$29)/1000</f>
        <v>0</v>
      </c>
      <c r="Z68" s="442">
        <f>C68*F68*_xlfn.XLOOKUP(J68,'Utslippsfaktorer Transport'!$A$23:$A$25,'Utslippsfaktorer Transport'!$C$23:$C$25)/1000</f>
        <v>0</v>
      </c>
      <c r="AA68" s="442">
        <f>C68*F68*_xlfn.XLOOKUP(J68,'Utslippsfaktorer Transport'!$A$23:$A$25,'Utslippsfaktorer Transport'!$D$23:$D$25)/1000</f>
        <v>0</v>
      </c>
      <c r="AB68" s="902">
        <f>C68*F68*_xlfn.XLOOKUP(J68,'Utslippsfaktorer Transport'!$A$23:$A$25,'Utslippsfaktorer Transport'!$E$23:$E$25)/1000</f>
        <v>0</v>
      </c>
      <c r="AW68" s="313"/>
    </row>
    <row r="69" spans="2:49" ht="15" thickBot="1" x14ac:dyDescent="0.35">
      <c r="S69" s="558" t="s">
        <v>336</v>
      </c>
      <c r="T69" s="970">
        <f>SUM(T61:T68)</f>
        <v>5.1239999999999997</v>
      </c>
      <c r="U69" s="970">
        <f>SUM(U61:U68)</f>
        <v>0</v>
      </c>
      <c r="V69" s="970">
        <f>SUM(V61:V68)</f>
        <v>1.323</v>
      </c>
      <c r="W69" s="971">
        <f t="shared" ref="W69:AB69" si="5">SUM(W61:W68)</f>
        <v>1.75</v>
      </c>
      <c r="X69" s="970">
        <f t="shared" si="5"/>
        <v>0</v>
      </c>
      <c r="Y69" s="972">
        <f t="shared" si="5"/>
        <v>0</v>
      </c>
      <c r="Z69" s="970">
        <f t="shared" si="5"/>
        <v>0</v>
      </c>
      <c r="AA69" s="970">
        <f t="shared" si="5"/>
        <v>1.6399999999999997</v>
      </c>
      <c r="AB69" s="972">
        <f t="shared" si="5"/>
        <v>0</v>
      </c>
      <c r="AW69" s="313"/>
    </row>
    <row r="70" spans="2:49" x14ac:dyDescent="0.3">
      <c r="B70" s="388" t="s">
        <v>375</v>
      </c>
      <c r="E70" s="388" t="s">
        <v>381</v>
      </c>
      <c r="K70" s="389" t="s">
        <v>549</v>
      </c>
      <c r="AW70" s="313"/>
    </row>
    <row r="71" spans="2:49" x14ac:dyDescent="0.3">
      <c r="AC71" s="313"/>
      <c r="AD71" s="313"/>
      <c r="AL71" s="313"/>
      <c r="AM71" s="313"/>
      <c r="AN71" s="313"/>
      <c r="AO71" s="313"/>
      <c r="AP71" s="313"/>
      <c r="AQ71" s="313"/>
      <c r="AR71" s="313"/>
      <c r="AS71" s="313"/>
      <c r="AT71" s="313"/>
      <c r="AU71" s="313"/>
      <c r="AV71" s="313"/>
      <c r="AW71" s="313"/>
    </row>
    <row r="72" spans="2:49" x14ac:dyDescent="0.3">
      <c r="B72" s="388" t="s">
        <v>332</v>
      </c>
      <c r="AC72" s="313"/>
      <c r="AD72" s="314"/>
      <c r="AL72" s="1270"/>
      <c r="AM72" s="1270"/>
      <c r="AN72" s="1270"/>
      <c r="AO72" s="1270"/>
      <c r="AP72" s="1270"/>
      <c r="AQ72" s="1270"/>
      <c r="AR72" s="1270"/>
      <c r="AS72" s="1270"/>
      <c r="AT72" s="1270"/>
      <c r="AU72" s="1270"/>
      <c r="AV72" s="456"/>
      <c r="AW72" s="313"/>
    </row>
    <row r="73" spans="2:49" x14ac:dyDescent="0.3">
      <c r="AC73" s="313"/>
      <c r="AD73" s="313"/>
      <c r="AL73" s="1270"/>
      <c r="AM73" s="1270"/>
      <c r="AN73" s="1270"/>
      <c r="AO73" s="1270"/>
      <c r="AP73" s="1270"/>
      <c r="AQ73" s="1270"/>
      <c r="AR73" s="1270"/>
      <c r="AS73" s="1270"/>
      <c r="AT73" s="1270"/>
      <c r="AU73" s="1270"/>
      <c r="AV73" s="1270"/>
      <c r="AW73" s="313"/>
    </row>
    <row r="74" spans="2:49" x14ac:dyDescent="0.3">
      <c r="AC74" s="313"/>
      <c r="AD74" s="314"/>
      <c r="AL74" s="313"/>
      <c r="AM74" s="995"/>
      <c r="AN74" s="995"/>
      <c r="AO74" s="314"/>
      <c r="AP74" s="314"/>
      <c r="AQ74" s="313"/>
      <c r="AR74" s="995"/>
      <c r="AS74" s="995"/>
      <c r="AT74" s="314"/>
      <c r="AU74" s="314"/>
      <c r="AV74" s="314"/>
      <c r="AW74" s="313"/>
    </row>
    <row r="75" spans="2:49" x14ac:dyDescent="0.3">
      <c r="AL75" s="1003"/>
      <c r="AM75" s="313"/>
      <c r="AN75" s="1003"/>
      <c r="AO75" s="470"/>
      <c r="AP75" s="313"/>
      <c r="AQ75" s="1003"/>
      <c r="AR75" s="313"/>
      <c r="AS75" s="1003"/>
      <c r="AT75" s="313"/>
      <c r="AU75" s="313"/>
      <c r="AV75" s="313"/>
      <c r="AW75" s="313"/>
    </row>
    <row r="76" spans="2:49" x14ac:dyDescent="0.3">
      <c r="AL76" s="1003"/>
      <c r="AM76" s="470"/>
      <c r="AN76" s="1003"/>
      <c r="AO76" s="470"/>
      <c r="AP76" s="313"/>
      <c r="AQ76" s="1003"/>
      <c r="AR76" s="313"/>
      <c r="AS76" s="1003"/>
      <c r="AT76" s="313"/>
      <c r="AU76" s="313"/>
      <c r="AV76" s="313"/>
      <c r="AW76" s="313"/>
    </row>
    <row r="77" spans="2:49" x14ac:dyDescent="0.3">
      <c r="AL77" s="1003"/>
      <c r="AM77" s="470"/>
      <c r="AN77" s="1003"/>
      <c r="AO77" s="470"/>
      <c r="AP77" s="313"/>
      <c r="AQ77" s="1003"/>
      <c r="AR77" s="313"/>
      <c r="AS77" s="1003"/>
      <c r="AT77" s="313"/>
      <c r="AU77" s="313"/>
      <c r="AV77" s="313"/>
      <c r="AW77" s="313"/>
    </row>
    <row r="78" spans="2:49" x14ac:dyDescent="0.3">
      <c r="AL78" s="1003"/>
      <c r="AM78" s="470"/>
      <c r="AN78" s="313"/>
      <c r="AO78" s="470"/>
      <c r="AP78" s="313"/>
      <c r="AQ78" s="1003"/>
      <c r="AR78" s="470"/>
      <c r="AS78" s="313"/>
      <c r="AT78" s="470"/>
      <c r="AU78" s="313"/>
      <c r="AV78" s="313"/>
      <c r="AW78" s="313"/>
    </row>
  </sheetData>
  <sheetProtection algorithmName="SHA-512" hashValue="/1dWEZtNPl5XVNj3zfsgJZGYwwvgwmwAcqoo1NrmFt+3CBs6XHhb9OV8yWc3drbQpqTqCL/iIpT0Iek5RUekxA==" saltValue="jmAqCBHW7yCPVjvC/p57/Q==" spinCount="100000" sheet="1" objects="1" scenarios="1" formatColumns="0" formatRows="0"/>
  <mergeCells count="23">
    <mergeCell ref="AL73:AP73"/>
    <mergeCell ref="AQ73:AV73"/>
    <mergeCell ref="A55:Q55"/>
    <mergeCell ref="S35:T35"/>
    <mergeCell ref="AL72:AU72"/>
    <mergeCell ref="W59:Y59"/>
    <mergeCell ref="Z59:AB59"/>
    <mergeCell ref="B2:K7"/>
    <mergeCell ref="T59:V59"/>
    <mergeCell ref="T8:V8"/>
    <mergeCell ref="T10:V10"/>
    <mergeCell ref="W10:Y10"/>
    <mergeCell ref="T9:Y9"/>
    <mergeCell ref="K21:M31"/>
    <mergeCell ref="K11:N17"/>
    <mergeCell ref="B16:E16"/>
    <mergeCell ref="B33:E33"/>
    <mergeCell ref="B12:E12"/>
    <mergeCell ref="B14:E14"/>
    <mergeCell ref="B17:E17"/>
    <mergeCell ref="B13:E13"/>
    <mergeCell ref="B15:E15"/>
    <mergeCell ref="B11:E11"/>
  </mergeCells>
  <hyperlinks>
    <hyperlink ref="B70" location="Innledning!A1" display="Tilbake til forside" xr:uid="{00000000-0004-0000-0400-000000000000}"/>
    <hyperlink ref="E70" location="Sammendrag!A1" display="Sammendrag" xr:uid="{00000000-0004-0000-0400-000002000000}"/>
    <hyperlink ref="K70" location="'Transportsystem Avløp - Input'!A1" display="Transportsystem Avløp" xr:uid="{00000000-0004-0000-0400-000003000000}"/>
    <hyperlink ref="B72" location="'Transportsystemer, faktorer'!A1" display="Utslippsfaktorer" xr:uid="{00000000-0004-0000-0400-000001000000}"/>
  </hyperlinks>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4">
        <x14:dataValidation type="list" allowBlank="1" showInputMessage="1" showErrorMessage="1" xr:uid="{7DAD1517-5D16-4D35-BE63-F78346B9C184}">
          <x14:formula1>
            <xm:f>'Utslippsfaktorer Transport'!$A$9:$A$19</xm:f>
          </x14:formula1>
          <xm:sqref>B12:B17 G61:G68</xm:sqref>
        </x14:dataValidation>
        <x14:dataValidation type="list" allowBlank="1" showInputMessage="1" showErrorMessage="1" xr:uid="{522F7B8E-9672-4846-98BB-59919EF85A37}">
          <x14:formula1>
            <xm:f>'Utslippsfaktorer Transport'!$A$23:$A$25</xm:f>
          </x14:formula1>
          <xm:sqref>J61:J68</xm:sqref>
        </x14:dataValidation>
        <x14:dataValidation type="list" allowBlank="1" showInputMessage="1" showErrorMessage="1" xr:uid="{11BDA47D-625C-410E-BC88-4B1ECB929713}">
          <x14:formula1>
            <xm:f>'Utslippsfaktorer Transport'!$A$27:$A$29</xm:f>
          </x14:formula1>
          <xm:sqref>I61:I68</xm:sqref>
        </x14:dataValidation>
        <x14:dataValidation type="list" allowBlank="1" showInputMessage="1" showErrorMessage="1" xr:uid="{504493D8-3983-42AF-8D9D-51E6B117BE63}">
          <x14:formula1>
            <xm:f>'Utslippsfaktorer Transport'!$A$33:$A$52</xm:f>
          </x14:formula1>
          <xm:sqref>F12:F17 H61:H68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E057B-AC4A-4743-B2B0-5F8FE0809B70}">
  <sheetPr>
    <tabColor theme="2" tint="-9.9978637043366805E-2"/>
  </sheetPr>
  <dimension ref="A1:U67"/>
  <sheetViews>
    <sheetView workbookViewId="0">
      <selection activeCell="C32" sqref="C32"/>
    </sheetView>
  </sheetViews>
  <sheetFormatPr baseColWidth="10" defaultColWidth="11.44140625" defaultRowHeight="14.4" x14ac:dyDescent="0.3"/>
  <cols>
    <col min="1" max="1" width="11.44140625" style="301"/>
    <col min="2" max="2" width="29.5546875" style="301" customWidth="1"/>
    <col min="3" max="3" width="14" style="301" customWidth="1"/>
    <col min="4" max="4" width="12.5546875" style="301" bestFit="1" customWidth="1"/>
    <col min="5" max="5" width="16.109375" style="301" customWidth="1"/>
    <col min="6" max="6" width="17.5546875" style="301" customWidth="1"/>
    <col min="7" max="7" width="23.33203125" style="301" bestFit="1" customWidth="1"/>
    <col min="8" max="10" width="11.44140625" style="301"/>
    <col min="11" max="11" width="16.109375" style="301" bestFit="1" customWidth="1"/>
    <col min="12" max="12" width="18.109375" style="301" customWidth="1"/>
    <col min="13" max="16384" width="11.44140625" style="301"/>
  </cols>
  <sheetData>
    <row r="1" spans="1:13" ht="15" thickBot="1" x14ac:dyDescent="0.35">
      <c r="A1" s="1271" t="s">
        <v>997</v>
      </c>
      <c r="B1" s="1270"/>
      <c r="C1" s="1270"/>
      <c r="D1" s="1270"/>
      <c r="E1" s="1270"/>
      <c r="F1" s="1270"/>
      <c r="G1" s="1270"/>
      <c r="H1" s="1270"/>
      <c r="I1" s="1270"/>
      <c r="J1" s="1270"/>
      <c r="K1" s="1270"/>
      <c r="L1" s="1270"/>
      <c r="M1" s="456"/>
    </row>
    <row r="2" spans="1:13" x14ac:dyDescent="0.3">
      <c r="A2" s="374"/>
      <c r="B2" s="370" t="s">
        <v>659</v>
      </c>
      <c r="C2" s="307"/>
      <c r="D2" s="419"/>
    </row>
    <row r="3" spans="1:13" x14ac:dyDescent="0.3">
      <c r="A3" s="374"/>
      <c r="B3" s="373" t="s">
        <v>752</v>
      </c>
      <c r="C3" s="408">
        <v>35.9</v>
      </c>
      <c r="D3" s="457" t="s">
        <v>694</v>
      </c>
    </row>
    <row r="4" spans="1:13" x14ac:dyDescent="0.3">
      <c r="A4" s="374"/>
      <c r="B4" s="373" t="s">
        <v>753</v>
      </c>
      <c r="C4" s="374">
        <v>35.700000000000003</v>
      </c>
      <c r="D4" s="395" t="s">
        <v>694</v>
      </c>
    </row>
    <row r="5" spans="1:13" x14ac:dyDescent="0.3">
      <c r="A5" s="374"/>
      <c r="B5" s="373" t="s">
        <v>663</v>
      </c>
      <c r="C5" s="374">
        <v>32.799999999999997</v>
      </c>
      <c r="D5" s="395" t="s">
        <v>694</v>
      </c>
    </row>
    <row r="6" spans="1:13" x14ac:dyDescent="0.3">
      <c r="A6" s="374"/>
      <c r="B6" s="373" t="s">
        <v>664</v>
      </c>
      <c r="C6" s="374">
        <v>21.3</v>
      </c>
      <c r="D6" s="395" t="s">
        <v>694</v>
      </c>
    </row>
    <row r="7" spans="1:13" x14ac:dyDescent="0.3">
      <c r="A7" s="374"/>
      <c r="B7" s="373" t="s">
        <v>665</v>
      </c>
      <c r="C7" s="473">
        <f>50*0.66</f>
        <v>33</v>
      </c>
      <c r="D7" s="395" t="s">
        <v>738</v>
      </c>
    </row>
    <row r="8" spans="1:13" ht="15" thickBot="1" x14ac:dyDescent="0.35">
      <c r="A8" s="374"/>
      <c r="B8" s="376" t="s">
        <v>666</v>
      </c>
      <c r="C8" s="411">
        <v>0.66</v>
      </c>
      <c r="D8" s="397" t="s">
        <v>683</v>
      </c>
    </row>
    <row r="9" spans="1:13" ht="15" thickBot="1" x14ac:dyDescent="0.35">
      <c r="A9" s="374"/>
    </row>
    <row r="10" spans="1:13" x14ac:dyDescent="0.3">
      <c r="A10" s="374"/>
      <c r="B10" s="415" t="s">
        <v>656</v>
      </c>
      <c r="C10" s="458"/>
      <c r="D10" s="458"/>
      <c r="E10" s="459"/>
    </row>
    <row r="11" spans="1:13" ht="15" thickBot="1" x14ac:dyDescent="0.35">
      <c r="A11" s="374"/>
      <c r="B11" s="989" t="str">
        <f>'Vann og Avløp-utslippsfaktorer'!A3</f>
        <v>Elektrisitet, Norsk forbruksmiks</v>
      </c>
      <c r="C11" s="318"/>
      <c r="D11" s="441">
        <f>'Vann og Avløp-utslippsfaktorer'!D3</f>
        <v>3.61E-2</v>
      </c>
      <c r="E11" s="320" t="s">
        <v>730</v>
      </c>
    </row>
    <row r="12" spans="1:13" x14ac:dyDescent="0.3">
      <c r="A12" s="374"/>
    </row>
    <row r="13" spans="1:13" ht="15" thickBot="1" x14ac:dyDescent="0.35">
      <c r="A13" s="374"/>
    </row>
    <row r="14" spans="1:13" ht="15" thickBot="1" x14ac:dyDescent="0.35">
      <c r="A14" s="374"/>
      <c r="B14" s="353" t="s">
        <v>696</v>
      </c>
      <c r="C14" s="354"/>
      <c r="D14" s="354"/>
      <c r="E14" s="354"/>
      <c r="F14" s="354"/>
      <c r="G14" s="354"/>
      <c r="H14" s="354"/>
      <c r="I14" s="354"/>
      <c r="J14" s="354"/>
      <c r="K14" s="354"/>
      <c r="L14" s="460"/>
    </row>
    <row r="15" spans="1:13" ht="15" thickBot="1" x14ac:dyDescent="0.35">
      <c r="A15" s="374"/>
      <c r="B15" s="1096" t="s">
        <v>658</v>
      </c>
      <c r="C15" s="1097"/>
      <c r="D15" s="1097"/>
      <c r="E15" s="1097"/>
      <c r="F15" s="1098"/>
      <c r="G15" s="1096" t="s">
        <v>332</v>
      </c>
      <c r="H15" s="1097"/>
      <c r="I15" s="1097"/>
      <c r="J15" s="1097"/>
      <c r="K15" s="1097"/>
      <c r="L15" s="1098"/>
    </row>
    <row r="16" spans="1:13" x14ac:dyDescent="0.3">
      <c r="A16" s="374"/>
      <c r="B16" s="415" t="s">
        <v>662</v>
      </c>
      <c r="C16" s="461" t="s">
        <v>657</v>
      </c>
      <c r="D16" s="461" t="s">
        <v>579</v>
      </c>
      <c r="E16" s="462" t="s">
        <v>367</v>
      </c>
      <c r="F16" s="463" t="s">
        <v>444</v>
      </c>
      <c r="G16" s="458"/>
      <c r="H16" s="461" t="s">
        <v>657</v>
      </c>
      <c r="I16" s="461" t="s">
        <v>579</v>
      </c>
      <c r="J16" s="462" t="s">
        <v>367</v>
      </c>
      <c r="K16" s="462" t="s">
        <v>444</v>
      </c>
      <c r="L16" s="463" t="s">
        <v>527</v>
      </c>
    </row>
    <row r="17" spans="1:13" x14ac:dyDescent="0.3">
      <c r="A17" s="374"/>
      <c r="B17" s="1002" t="s">
        <v>744</v>
      </c>
      <c r="C17" s="374">
        <v>0.97699999999999998</v>
      </c>
      <c r="D17" s="464"/>
      <c r="E17" s="475">
        <f>IF(D17=0,C17,D17)</f>
        <v>0.97699999999999998</v>
      </c>
      <c r="F17" s="395" t="s">
        <v>655</v>
      </c>
      <c r="G17" s="1002" t="s">
        <v>744</v>
      </c>
      <c r="H17" s="374">
        <v>3.24</v>
      </c>
      <c r="I17" s="464"/>
      <c r="J17" s="473">
        <f t="shared" ref="J17:J22" si="0">IF(I17=0,H17,I17)</f>
        <v>3.24</v>
      </c>
      <c r="K17" s="374" t="s">
        <v>661</v>
      </c>
      <c r="L17" s="395" t="s">
        <v>660</v>
      </c>
      <c r="M17" s="301" t="s">
        <v>850</v>
      </c>
    </row>
    <row r="18" spans="1:13" x14ac:dyDescent="0.3">
      <c r="A18" s="374"/>
      <c r="B18" s="1002" t="s">
        <v>743</v>
      </c>
      <c r="C18" s="474">
        <f>C17*$C$3/$C$4</f>
        <v>0.98247338935574224</v>
      </c>
      <c r="D18" s="464"/>
      <c r="E18" s="475">
        <f t="shared" ref="E18:E20" si="1">IF(D18=0,C18,D18)</f>
        <v>0.98247338935574224</v>
      </c>
      <c r="F18" s="395" t="s">
        <v>655</v>
      </c>
      <c r="G18" s="1002" t="s">
        <v>743</v>
      </c>
      <c r="H18" s="374">
        <v>3.15</v>
      </c>
      <c r="I18" s="464"/>
      <c r="J18" s="473">
        <f t="shared" si="0"/>
        <v>3.15</v>
      </c>
      <c r="K18" s="374" t="s">
        <v>661</v>
      </c>
      <c r="L18" s="395" t="s">
        <v>660</v>
      </c>
    </row>
    <row r="19" spans="1:13" x14ac:dyDescent="0.3">
      <c r="A19" s="374"/>
      <c r="B19" s="1002" t="s">
        <v>745</v>
      </c>
      <c r="C19" s="475">
        <f>C17*$C$3/$C$5</f>
        <v>1.0693384146341465</v>
      </c>
      <c r="D19" s="464"/>
      <c r="E19" s="475">
        <f t="shared" si="1"/>
        <v>1.0693384146341465</v>
      </c>
      <c r="F19" s="395" t="s">
        <v>655</v>
      </c>
      <c r="G19" s="1002" t="s">
        <v>745</v>
      </c>
      <c r="H19" s="374">
        <v>1.92</v>
      </c>
      <c r="I19" s="464"/>
      <c r="J19" s="473">
        <f t="shared" si="0"/>
        <v>1.92</v>
      </c>
      <c r="K19" s="374" t="s">
        <v>661</v>
      </c>
      <c r="L19" s="395" t="s">
        <v>660</v>
      </c>
    </row>
    <row r="20" spans="1:13" x14ac:dyDescent="0.3">
      <c r="A20" s="374"/>
      <c r="B20" s="1002" t="s">
        <v>746</v>
      </c>
      <c r="C20" s="475">
        <f>C17*$C$3/$C$5</f>
        <v>1.0693384146341465</v>
      </c>
      <c r="D20" s="464"/>
      <c r="E20" s="475">
        <f t="shared" si="1"/>
        <v>1.0693384146341465</v>
      </c>
      <c r="F20" s="395" t="s">
        <v>655</v>
      </c>
      <c r="G20" s="1002" t="s">
        <v>746</v>
      </c>
      <c r="H20" s="374">
        <v>0.31</v>
      </c>
      <c r="I20" s="464"/>
      <c r="J20" s="473">
        <f t="shared" si="0"/>
        <v>0.31</v>
      </c>
      <c r="K20" s="374" t="s">
        <v>661</v>
      </c>
      <c r="L20" s="395" t="s">
        <v>755</v>
      </c>
    </row>
    <row r="21" spans="1:13" x14ac:dyDescent="0.3">
      <c r="A21" s="374"/>
      <c r="B21" s="1002" t="s">
        <v>649</v>
      </c>
      <c r="C21" s="475">
        <f>C17*$C$3/$C$6</f>
        <v>1.6466807511737089</v>
      </c>
      <c r="D21" s="464"/>
      <c r="E21" s="475">
        <f>IF(D21=0,C21,D21)</f>
        <v>1.6466807511737089</v>
      </c>
      <c r="F21" s="395" t="s">
        <v>655</v>
      </c>
      <c r="G21" s="1002" t="s">
        <v>649</v>
      </c>
      <c r="H21" s="374">
        <v>1.24</v>
      </c>
      <c r="I21" s="464"/>
      <c r="J21" s="473">
        <f t="shared" si="0"/>
        <v>1.24</v>
      </c>
      <c r="K21" s="374" t="s">
        <v>661</v>
      </c>
      <c r="L21" s="395" t="s">
        <v>660</v>
      </c>
    </row>
    <row r="22" spans="1:13" ht="15" thickBot="1" x14ac:dyDescent="0.35">
      <c r="A22" s="374"/>
      <c r="B22" s="366" t="s">
        <v>243</v>
      </c>
      <c r="C22" s="476">
        <f>C17*$C$3/$C$7</f>
        <v>1.0628575757575758</v>
      </c>
      <c r="D22" s="329"/>
      <c r="E22" s="476">
        <f>IF(D22=0,C22,D22)</f>
        <v>1.0628575757575758</v>
      </c>
      <c r="F22" s="397" t="s">
        <v>750</v>
      </c>
      <c r="G22" s="366" t="s">
        <v>243</v>
      </c>
      <c r="H22" s="476">
        <f>8.4*$C$7/1000</f>
        <v>0.2772</v>
      </c>
      <c r="I22" s="329"/>
      <c r="J22" s="476">
        <f t="shared" si="0"/>
        <v>0.2772</v>
      </c>
      <c r="K22" s="411" t="s">
        <v>734</v>
      </c>
      <c r="L22" s="397" t="s">
        <v>695</v>
      </c>
    </row>
    <row r="23" spans="1:13" x14ac:dyDescent="0.3">
      <c r="A23" s="374"/>
    </row>
    <row r="24" spans="1:13" ht="15" thickBot="1" x14ac:dyDescent="0.35">
      <c r="A24" s="374"/>
      <c r="B24" s="313"/>
      <c r="C24" s="1003"/>
      <c r="D24" s="1003"/>
      <c r="F24" s="314"/>
      <c r="G24" s="1003"/>
    </row>
    <row r="25" spans="1:13" ht="15" thickBot="1" x14ac:dyDescent="0.35">
      <c r="A25" s="374"/>
      <c r="B25" s="353" t="s">
        <v>647</v>
      </c>
      <c r="C25" s="354"/>
      <c r="D25" s="354"/>
      <c r="E25" s="354"/>
      <c r="F25" s="354"/>
      <c r="G25" s="354"/>
      <c r="H25" s="354"/>
      <c r="I25" s="354"/>
      <c r="J25" s="354"/>
      <c r="K25" s="354"/>
      <c r="L25" s="460"/>
    </row>
    <row r="26" spans="1:13" ht="15" thickBot="1" x14ac:dyDescent="0.35">
      <c r="A26" s="374"/>
      <c r="B26" s="1096" t="s">
        <v>697</v>
      </c>
      <c r="C26" s="1097"/>
      <c r="D26" s="1097"/>
      <c r="E26" s="1097"/>
      <c r="F26" s="1098"/>
      <c r="G26" s="1096" t="s">
        <v>332</v>
      </c>
      <c r="H26" s="1097"/>
      <c r="I26" s="1097"/>
      <c r="J26" s="1097"/>
      <c r="K26" s="1097"/>
      <c r="L26" s="1098"/>
    </row>
    <row r="27" spans="1:13" x14ac:dyDescent="0.3">
      <c r="A27" s="374"/>
      <c r="B27" s="415" t="s">
        <v>662</v>
      </c>
      <c r="C27" s="461" t="s">
        <v>657</v>
      </c>
      <c r="D27" s="461" t="s">
        <v>579</v>
      </c>
      <c r="E27" s="462" t="s">
        <v>367</v>
      </c>
      <c r="F27" s="463" t="s">
        <v>444</v>
      </c>
      <c r="G27" s="381"/>
      <c r="H27" s="461" t="s">
        <v>657</v>
      </c>
      <c r="I27" s="461" t="s">
        <v>579</v>
      </c>
      <c r="J27" s="462" t="s">
        <v>367</v>
      </c>
      <c r="K27" s="462" t="s">
        <v>444</v>
      </c>
      <c r="L27" s="463" t="s">
        <v>527</v>
      </c>
    </row>
    <row r="28" spans="1:13" x14ac:dyDescent="0.3">
      <c r="A28" s="374"/>
      <c r="B28" s="1002" t="s">
        <v>744</v>
      </c>
      <c r="C28" s="374">
        <v>10000</v>
      </c>
      <c r="D28" s="464"/>
      <c r="E28" s="475">
        <f>IF(D28=0,C28,D28)</f>
        <v>10000</v>
      </c>
      <c r="F28" s="395" t="s">
        <v>655</v>
      </c>
      <c r="G28" s="1002" t="s">
        <v>744</v>
      </c>
      <c r="H28" s="374">
        <v>3.24</v>
      </c>
      <c r="I28" s="464"/>
      <c r="J28" s="473">
        <f>IF(I28=0,H28,I28)</f>
        <v>3.24</v>
      </c>
      <c r="K28" s="374" t="s">
        <v>661</v>
      </c>
      <c r="L28" s="395" t="s">
        <v>660</v>
      </c>
    </row>
    <row r="29" spans="1:13" x14ac:dyDescent="0.3">
      <c r="A29" s="374"/>
      <c r="B29" s="1002" t="s">
        <v>743</v>
      </c>
      <c r="C29" s="477">
        <f>C28*$C$3/$C$4</f>
        <v>10056.022408963585</v>
      </c>
      <c r="D29" s="464"/>
      <c r="E29" s="475">
        <f t="shared" ref="E29:E31" si="2">IF(D29=0,C29,D29)</f>
        <v>10056.022408963585</v>
      </c>
      <c r="F29" s="395" t="s">
        <v>655</v>
      </c>
      <c r="G29" s="1002" t="s">
        <v>743</v>
      </c>
      <c r="H29" s="374">
        <v>3.15</v>
      </c>
      <c r="I29" s="464"/>
      <c r="J29" s="473">
        <f t="shared" ref="J29:J31" si="3">IF(I29=0,H29,I29)</f>
        <v>3.15</v>
      </c>
      <c r="K29" s="374" t="s">
        <v>661</v>
      </c>
      <c r="L29" s="395" t="s">
        <v>660</v>
      </c>
    </row>
    <row r="30" spans="1:13" x14ac:dyDescent="0.3">
      <c r="A30" s="374"/>
      <c r="B30" s="1002" t="s">
        <v>745</v>
      </c>
      <c r="C30" s="477">
        <f>C28*$C$3/$C$5</f>
        <v>10945.121951219513</v>
      </c>
      <c r="D30" s="464"/>
      <c r="E30" s="475">
        <f t="shared" si="2"/>
        <v>10945.121951219513</v>
      </c>
      <c r="F30" s="395" t="s">
        <v>655</v>
      </c>
      <c r="G30" s="1002" t="s">
        <v>745</v>
      </c>
      <c r="H30" s="374">
        <v>1.92</v>
      </c>
      <c r="I30" s="464"/>
      <c r="J30" s="473">
        <f t="shared" si="3"/>
        <v>1.92</v>
      </c>
      <c r="K30" s="374" t="s">
        <v>661</v>
      </c>
      <c r="L30" s="395" t="s">
        <v>660</v>
      </c>
    </row>
    <row r="31" spans="1:13" x14ac:dyDescent="0.3">
      <c r="A31" s="374"/>
      <c r="B31" s="1002" t="s">
        <v>746</v>
      </c>
      <c r="C31" s="475">
        <f>C28*$C$3/$C$5</f>
        <v>10945.121951219513</v>
      </c>
      <c r="D31" s="464"/>
      <c r="E31" s="475">
        <f t="shared" si="2"/>
        <v>10945.121951219513</v>
      </c>
      <c r="F31" s="395" t="s">
        <v>655</v>
      </c>
      <c r="G31" s="1002" t="s">
        <v>746</v>
      </c>
      <c r="H31" s="374">
        <v>0.31</v>
      </c>
      <c r="I31" s="464"/>
      <c r="J31" s="473">
        <f t="shared" si="3"/>
        <v>0.31</v>
      </c>
      <c r="K31" s="374" t="s">
        <v>661</v>
      </c>
      <c r="L31" s="395" t="s">
        <v>755</v>
      </c>
    </row>
    <row r="32" spans="1:13" x14ac:dyDescent="0.3">
      <c r="A32" s="374"/>
      <c r="B32" s="1002" t="s">
        <v>649</v>
      </c>
      <c r="C32" s="475">
        <f>10000*$C$3/$C$6</f>
        <v>16854.460093896712</v>
      </c>
      <c r="D32" s="464"/>
      <c r="E32" s="475">
        <f>IF(D32=0,C32,D32)</f>
        <v>16854.460093896712</v>
      </c>
      <c r="F32" s="395" t="s">
        <v>655</v>
      </c>
      <c r="G32" s="1002" t="s">
        <v>649</v>
      </c>
      <c r="H32" s="374">
        <v>1.24</v>
      </c>
      <c r="I32" s="464"/>
      <c r="J32" s="473">
        <f>IF(I32=0,H32,I32)</f>
        <v>1.24</v>
      </c>
      <c r="K32" s="374" t="s">
        <v>661</v>
      </c>
      <c r="L32" s="395" t="s">
        <v>660</v>
      </c>
    </row>
    <row r="33" spans="1:17" x14ac:dyDescent="0.3">
      <c r="A33" s="374"/>
      <c r="B33" s="1002" t="s">
        <v>243</v>
      </c>
      <c r="C33" s="477">
        <f>10000*$C$3/$C$7</f>
        <v>10878.787878787878</v>
      </c>
      <c r="D33" s="360"/>
      <c r="E33" s="477">
        <f>IF(D33=0,C33,D33)</f>
        <v>10878.787878787878</v>
      </c>
      <c r="F33" s="395" t="s">
        <v>750</v>
      </c>
      <c r="G33" s="1002" t="s">
        <v>243</v>
      </c>
      <c r="H33" s="406">
        <v>0.2772</v>
      </c>
      <c r="I33" s="360"/>
      <c r="J33" s="475">
        <f>IF(I33=0,H33,I33)</f>
        <v>0.2772</v>
      </c>
      <c r="K33" s="374" t="s">
        <v>734</v>
      </c>
      <c r="L33" s="395" t="s">
        <v>695</v>
      </c>
    </row>
    <row r="34" spans="1:17" ht="15" thickBot="1" x14ac:dyDescent="0.35">
      <c r="A34" s="374"/>
      <c r="B34" s="465" t="s">
        <v>707</v>
      </c>
      <c r="C34" s="443">
        <f>C28*C3/3.6</f>
        <v>99722.222222222219</v>
      </c>
      <c r="D34" s="329"/>
      <c r="E34" s="478">
        <f>IF(D34=0,C34,D34)</f>
        <v>99722.222222222219</v>
      </c>
      <c r="F34" s="397" t="s">
        <v>698</v>
      </c>
      <c r="G34" s="465" t="s">
        <v>707</v>
      </c>
      <c r="H34" s="441">
        <f>D11</f>
        <v>3.61E-2</v>
      </c>
      <c r="I34" s="329"/>
      <c r="J34" s="479">
        <f>IF(I34=0,H34,I34)</f>
        <v>3.61E-2</v>
      </c>
      <c r="K34" s="411" t="s">
        <v>699</v>
      </c>
      <c r="L34" s="397" t="s">
        <v>754</v>
      </c>
    </row>
    <row r="35" spans="1:17" x14ac:dyDescent="0.3">
      <c r="A35" s="374"/>
    </row>
    <row r="36" spans="1:17" x14ac:dyDescent="0.3">
      <c r="A36" s="374"/>
      <c r="L36" s="1226"/>
      <c r="M36" s="1226"/>
      <c r="N36" s="1226"/>
      <c r="O36" s="1226"/>
      <c r="P36" s="314"/>
    </row>
    <row r="37" spans="1:17" ht="15" thickBot="1" x14ac:dyDescent="0.35">
      <c r="A37" s="313"/>
    </row>
    <row r="38" spans="1:17" x14ac:dyDescent="0.3">
      <c r="A38" s="313"/>
      <c r="B38" s="370" t="s">
        <v>3</v>
      </c>
      <c r="C38" s="337" t="s">
        <v>703</v>
      </c>
      <c r="D38" s="370" t="s">
        <v>7</v>
      </c>
      <c r="E38" s="337" t="s">
        <v>703</v>
      </c>
      <c r="F38" s="370" t="s">
        <v>8</v>
      </c>
      <c r="G38" s="337" t="s">
        <v>703</v>
      </c>
      <c r="H38" s="370" t="s">
        <v>5</v>
      </c>
      <c r="I38" s="337" t="s">
        <v>703</v>
      </c>
      <c r="J38" s="370" t="s">
        <v>6</v>
      </c>
      <c r="K38" s="337" t="s">
        <v>703</v>
      </c>
      <c r="L38" s="370" t="s">
        <v>9</v>
      </c>
      <c r="M38" s="337" t="s">
        <v>703</v>
      </c>
      <c r="N38" s="308" t="s">
        <v>553</v>
      </c>
      <c r="O38" s="337" t="s">
        <v>703</v>
      </c>
      <c r="P38" s="308" t="s">
        <v>14</v>
      </c>
      <c r="Q38" s="337" t="s">
        <v>703</v>
      </c>
    </row>
    <row r="39" spans="1:17" x14ac:dyDescent="0.3">
      <c r="A39" s="313"/>
      <c r="B39" s="373">
        <v>110</v>
      </c>
      <c r="C39" s="395">
        <v>3.33</v>
      </c>
      <c r="D39" s="373">
        <v>110</v>
      </c>
      <c r="E39" s="395">
        <v>1.5</v>
      </c>
      <c r="F39" s="373">
        <v>110</v>
      </c>
      <c r="G39" s="466">
        <v>2.8</v>
      </c>
      <c r="H39" s="373">
        <v>150</v>
      </c>
      <c r="I39" s="395">
        <v>55</v>
      </c>
      <c r="J39" s="373">
        <v>150</v>
      </c>
      <c r="K39" s="395">
        <v>3</v>
      </c>
      <c r="L39" s="373">
        <v>100</v>
      </c>
      <c r="M39" s="395">
        <v>18.100000000000001</v>
      </c>
      <c r="N39" s="313">
        <v>100</v>
      </c>
      <c r="O39" s="395">
        <v>22.66</v>
      </c>
      <c r="P39" s="313">
        <v>100</v>
      </c>
      <c r="Q39" s="395">
        <v>1.5564764</v>
      </c>
    </row>
    <row r="40" spans="1:17" x14ac:dyDescent="0.3">
      <c r="A40" s="313"/>
      <c r="B40" s="373">
        <v>160</v>
      </c>
      <c r="C40" s="395">
        <v>7.06</v>
      </c>
      <c r="D40" s="373">
        <v>160</v>
      </c>
      <c r="E40" s="395">
        <v>2.7</v>
      </c>
      <c r="F40" s="373">
        <v>160</v>
      </c>
      <c r="G40" s="466">
        <v>5</v>
      </c>
      <c r="H40" s="373">
        <v>200</v>
      </c>
      <c r="I40" s="395">
        <v>100</v>
      </c>
      <c r="J40" s="373">
        <v>200</v>
      </c>
      <c r="K40" s="395">
        <v>5</v>
      </c>
      <c r="L40" s="373">
        <v>125</v>
      </c>
      <c r="M40" s="395">
        <v>22.5</v>
      </c>
      <c r="N40" s="313">
        <v>125</v>
      </c>
      <c r="O40" s="395">
        <v>31.44</v>
      </c>
      <c r="P40" s="313">
        <v>125</v>
      </c>
      <c r="Q40" s="395">
        <v>2.2227014</v>
      </c>
    </row>
    <row r="41" spans="1:17" x14ac:dyDescent="0.3">
      <c r="A41" s="313"/>
      <c r="B41" s="373">
        <v>200</v>
      </c>
      <c r="C41" s="395">
        <v>10.23</v>
      </c>
      <c r="D41" s="373">
        <v>200</v>
      </c>
      <c r="E41" s="395">
        <v>4.5999999999999996</v>
      </c>
      <c r="F41" s="373">
        <v>200</v>
      </c>
      <c r="G41" s="466">
        <v>7.5</v>
      </c>
      <c r="H41" s="373">
        <v>250</v>
      </c>
      <c r="I41" s="395">
        <v>140</v>
      </c>
      <c r="J41" s="373">
        <v>250</v>
      </c>
      <c r="K41" s="395">
        <v>7.5</v>
      </c>
      <c r="L41" s="373">
        <v>150</v>
      </c>
      <c r="M41" s="395">
        <v>26.5</v>
      </c>
      <c r="N41" s="313">
        <v>150</v>
      </c>
      <c r="O41" s="395">
        <v>43.21</v>
      </c>
      <c r="P41" s="313">
        <v>150</v>
      </c>
      <c r="Q41" s="395">
        <v>3.0205514</v>
      </c>
    </row>
    <row r="42" spans="1:17" x14ac:dyDescent="0.3">
      <c r="A42" s="313"/>
      <c r="B42" s="373">
        <v>225</v>
      </c>
      <c r="C42" s="395">
        <v>12.96</v>
      </c>
      <c r="D42" s="373">
        <v>225</v>
      </c>
      <c r="E42" s="395">
        <v>5.7</v>
      </c>
      <c r="F42" s="373">
        <v>225</v>
      </c>
      <c r="G42" s="466">
        <v>9</v>
      </c>
      <c r="H42" s="373">
        <v>300</v>
      </c>
      <c r="I42" s="395">
        <v>275</v>
      </c>
      <c r="J42" s="373">
        <v>300</v>
      </c>
      <c r="K42" s="395">
        <v>15</v>
      </c>
      <c r="L42" s="373">
        <v>200</v>
      </c>
      <c r="M42" s="395">
        <v>37</v>
      </c>
      <c r="N42" s="313">
        <v>200</v>
      </c>
      <c r="O42" s="395">
        <v>65.63</v>
      </c>
      <c r="P42" s="313">
        <v>200</v>
      </c>
      <c r="Q42" s="395">
        <v>5.0111264000000002</v>
      </c>
    </row>
    <row r="43" spans="1:17" x14ac:dyDescent="0.3">
      <c r="A43" s="313"/>
      <c r="B43" s="373">
        <v>250</v>
      </c>
      <c r="C43" s="395">
        <v>16.95</v>
      </c>
      <c r="D43" s="373">
        <v>250</v>
      </c>
      <c r="E43" s="395">
        <v>7</v>
      </c>
      <c r="F43" s="373">
        <v>250</v>
      </c>
      <c r="G43" s="466">
        <v>10.7</v>
      </c>
      <c r="H43" s="373">
        <v>400</v>
      </c>
      <c r="I43" s="395">
        <v>330</v>
      </c>
      <c r="J43" s="373">
        <v>400</v>
      </c>
      <c r="K43" s="395">
        <v>25</v>
      </c>
      <c r="L43" s="373">
        <v>250</v>
      </c>
      <c r="M43" s="395">
        <v>48.5</v>
      </c>
      <c r="N43" s="313">
        <v>250</v>
      </c>
      <c r="O43" s="395">
        <v>82.8</v>
      </c>
      <c r="P43" s="313">
        <v>250</v>
      </c>
      <c r="Q43" s="395">
        <v>7.5282014000000004</v>
      </c>
    </row>
    <row r="44" spans="1:17" x14ac:dyDescent="0.3">
      <c r="A44" s="313"/>
      <c r="B44" s="373">
        <v>280</v>
      </c>
      <c r="C44" s="395">
        <v>21.5</v>
      </c>
      <c r="D44" s="373">
        <v>280</v>
      </c>
      <c r="E44" s="395">
        <v>8.5</v>
      </c>
      <c r="F44" s="373">
        <v>280</v>
      </c>
      <c r="G44" s="466">
        <v>12.6</v>
      </c>
      <c r="H44" s="373">
        <v>500</v>
      </c>
      <c r="I44" s="395">
        <v>420</v>
      </c>
      <c r="J44" s="373">
        <v>500</v>
      </c>
      <c r="K44" s="395">
        <v>38</v>
      </c>
      <c r="L44" s="373">
        <v>300</v>
      </c>
      <c r="M44" s="395">
        <v>61.5</v>
      </c>
      <c r="N44" s="313">
        <v>300</v>
      </c>
      <c r="O44" s="395">
        <v>98.95</v>
      </c>
      <c r="P44" s="313">
        <v>300</v>
      </c>
      <c r="Q44" s="395">
        <v>10.571776400000001</v>
      </c>
    </row>
    <row r="45" spans="1:17" x14ac:dyDescent="0.3">
      <c r="A45" s="313"/>
      <c r="B45" s="373">
        <v>315</v>
      </c>
      <c r="C45" s="395">
        <v>27.24</v>
      </c>
      <c r="D45" s="373">
        <v>315</v>
      </c>
      <c r="E45" s="395">
        <v>10</v>
      </c>
      <c r="F45" s="373">
        <v>315</v>
      </c>
      <c r="G45" s="466">
        <v>14.5</v>
      </c>
      <c r="H45" s="373">
        <v>600</v>
      </c>
      <c r="I45" s="395">
        <v>520</v>
      </c>
      <c r="J45" s="373">
        <v>600</v>
      </c>
      <c r="K45" s="395">
        <v>50</v>
      </c>
      <c r="L45" s="373">
        <v>400</v>
      </c>
      <c r="M45" s="395">
        <v>97.5</v>
      </c>
      <c r="N45" s="313">
        <v>350</v>
      </c>
      <c r="O45" s="395">
        <v>109.04</v>
      </c>
      <c r="P45" s="313">
        <v>350</v>
      </c>
      <c r="Q45" s="395">
        <v>14.1418514</v>
      </c>
    </row>
    <row r="46" spans="1:17" x14ac:dyDescent="0.3">
      <c r="A46" s="313"/>
      <c r="B46" s="373">
        <v>355</v>
      </c>
      <c r="C46" s="395">
        <v>34.56</v>
      </c>
      <c r="D46" s="373">
        <v>355</v>
      </c>
      <c r="E46" s="395">
        <v>13.7</v>
      </c>
      <c r="F46" s="373">
        <v>355</v>
      </c>
      <c r="G46" s="466">
        <v>18.5</v>
      </c>
      <c r="H46" s="373">
        <v>800</v>
      </c>
      <c r="I46" s="395">
        <v>790</v>
      </c>
      <c r="J46" s="373">
        <v>800</v>
      </c>
      <c r="K46" s="395">
        <v>90</v>
      </c>
      <c r="L46" s="373">
        <v>500</v>
      </c>
      <c r="M46" s="395">
        <v>129</v>
      </c>
      <c r="N46" s="313">
        <v>400</v>
      </c>
      <c r="O46" s="395">
        <v>125.2</v>
      </c>
      <c r="P46" s="313">
        <v>400</v>
      </c>
      <c r="Q46" s="395">
        <v>18.238426399999998</v>
      </c>
    </row>
    <row r="47" spans="1:17" x14ac:dyDescent="0.3">
      <c r="A47" s="313"/>
      <c r="B47" s="373">
        <v>400</v>
      </c>
      <c r="C47" s="395">
        <v>40.799999999999997</v>
      </c>
      <c r="D47" s="373">
        <v>400</v>
      </c>
      <c r="E47" s="395">
        <v>17.600000000000001</v>
      </c>
      <c r="F47" s="373">
        <v>400</v>
      </c>
      <c r="G47" s="466">
        <v>23.1</v>
      </c>
      <c r="H47" s="373">
        <v>1000</v>
      </c>
      <c r="I47" s="395">
        <v>1110</v>
      </c>
      <c r="J47" s="373">
        <v>1000</v>
      </c>
      <c r="K47" s="395">
        <v>140</v>
      </c>
      <c r="L47" s="373">
        <v>600</v>
      </c>
      <c r="M47" s="395">
        <v>168</v>
      </c>
      <c r="N47" s="313">
        <v>450</v>
      </c>
      <c r="O47" s="395">
        <v>141.35</v>
      </c>
      <c r="P47" s="313">
        <v>450</v>
      </c>
      <c r="Q47" s="395">
        <v>22.861501399999998</v>
      </c>
    </row>
    <row r="48" spans="1:17" x14ac:dyDescent="0.3">
      <c r="A48" s="313"/>
      <c r="B48" s="373">
        <v>450</v>
      </c>
      <c r="C48" s="395">
        <v>51.71</v>
      </c>
      <c r="D48" s="373">
        <v>450</v>
      </c>
      <c r="E48" s="395">
        <v>22.3</v>
      </c>
      <c r="F48" s="373">
        <v>450</v>
      </c>
      <c r="G48" s="466">
        <v>28.3</v>
      </c>
      <c r="H48" s="373">
        <v>1200</v>
      </c>
      <c r="I48" s="395">
        <v>1430</v>
      </c>
      <c r="J48" s="373">
        <v>1200</v>
      </c>
      <c r="K48" s="395">
        <v>205</v>
      </c>
      <c r="L48" s="373">
        <v>700</v>
      </c>
      <c r="M48" s="395">
        <v>217</v>
      </c>
      <c r="N48" s="313">
        <v>500</v>
      </c>
      <c r="O48" s="395">
        <v>157.51</v>
      </c>
      <c r="P48" s="313">
        <v>500</v>
      </c>
      <c r="Q48" s="395">
        <v>28.011076399999997</v>
      </c>
    </row>
    <row r="49" spans="1:21" x14ac:dyDescent="0.3">
      <c r="A49" s="313"/>
      <c r="B49" s="373">
        <v>500</v>
      </c>
      <c r="C49" s="395">
        <v>63.78</v>
      </c>
      <c r="D49" s="373">
        <v>500</v>
      </c>
      <c r="E49" s="395">
        <v>27.6</v>
      </c>
      <c r="F49" s="373">
        <v>500</v>
      </c>
      <c r="G49" s="466">
        <v>33.9</v>
      </c>
      <c r="H49" s="373">
        <v>1400</v>
      </c>
      <c r="I49" s="395">
        <v>1910</v>
      </c>
      <c r="J49" s="373">
        <v>1400</v>
      </c>
      <c r="K49" s="395">
        <v>280</v>
      </c>
      <c r="L49" s="373">
        <v>800</v>
      </c>
      <c r="M49" s="395">
        <v>266</v>
      </c>
      <c r="N49" s="313">
        <v>600</v>
      </c>
      <c r="O49" s="395">
        <v>189.82</v>
      </c>
      <c r="P49" s="313">
        <v>600</v>
      </c>
      <c r="Q49" s="395">
        <v>40.08</v>
      </c>
    </row>
    <row r="50" spans="1:21" x14ac:dyDescent="0.3">
      <c r="A50" s="313"/>
      <c r="B50" s="373">
        <v>560</v>
      </c>
      <c r="C50" s="395">
        <v>86.01</v>
      </c>
      <c r="D50" s="373">
        <v>560</v>
      </c>
      <c r="E50" s="395">
        <v>33.799999999999997</v>
      </c>
      <c r="F50" s="373">
        <v>560</v>
      </c>
      <c r="G50" s="466">
        <v>53.269999999999996</v>
      </c>
      <c r="H50" s="373">
        <v>1600</v>
      </c>
      <c r="I50" s="395">
        <v>2500</v>
      </c>
      <c r="J50" s="373">
        <v>1600</v>
      </c>
      <c r="K50" s="395">
        <v>370</v>
      </c>
      <c r="L50" s="373">
        <v>900</v>
      </c>
      <c r="M50" s="395">
        <v>320</v>
      </c>
      <c r="N50" s="313">
        <v>700</v>
      </c>
      <c r="O50" s="395">
        <v>222.13</v>
      </c>
      <c r="P50" s="313">
        <v>700</v>
      </c>
      <c r="Q50" s="395">
        <v>54.17</v>
      </c>
    </row>
    <row r="51" spans="1:21" x14ac:dyDescent="0.3">
      <c r="A51" s="313"/>
      <c r="B51" s="373">
        <v>630</v>
      </c>
      <c r="C51" s="395">
        <v>108.94</v>
      </c>
      <c r="D51" s="373">
        <v>630</v>
      </c>
      <c r="E51" s="395">
        <v>40</v>
      </c>
      <c r="F51" s="373">
        <v>630</v>
      </c>
      <c r="G51" s="466">
        <v>72.64</v>
      </c>
      <c r="H51" s="373">
        <v>1800</v>
      </c>
      <c r="I51" s="395">
        <v>3145</v>
      </c>
      <c r="J51" s="373">
        <v>1800</v>
      </c>
      <c r="K51" s="395">
        <v>460</v>
      </c>
      <c r="L51" s="373">
        <v>1000</v>
      </c>
      <c r="M51" s="395">
        <v>378</v>
      </c>
      <c r="N51" s="313">
        <v>800</v>
      </c>
      <c r="O51" s="395">
        <v>254.44</v>
      </c>
      <c r="P51" s="313">
        <v>800</v>
      </c>
      <c r="Q51" s="395">
        <v>70.05</v>
      </c>
    </row>
    <row r="52" spans="1:21" x14ac:dyDescent="0.3">
      <c r="A52" s="313"/>
      <c r="B52" s="373">
        <v>710</v>
      </c>
      <c r="C52" s="395">
        <v>127</v>
      </c>
      <c r="D52" s="373"/>
      <c r="E52" s="395"/>
      <c r="F52" s="373"/>
      <c r="G52" s="395"/>
      <c r="H52" s="373">
        <v>2000</v>
      </c>
      <c r="I52" s="395">
        <v>3725</v>
      </c>
      <c r="J52" s="373">
        <v>2000</v>
      </c>
      <c r="K52" s="395">
        <v>560</v>
      </c>
      <c r="L52" s="373">
        <v>1200</v>
      </c>
      <c r="M52" s="395">
        <v>510</v>
      </c>
      <c r="N52" s="313">
        <v>900</v>
      </c>
      <c r="O52" s="395">
        <v>286.75</v>
      </c>
      <c r="P52" s="313">
        <v>900</v>
      </c>
      <c r="Q52" s="395">
        <v>88.26</v>
      </c>
    </row>
    <row r="53" spans="1:21" x14ac:dyDescent="0.3">
      <c r="A53" s="313"/>
      <c r="B53" s="373">
        <v>800</v>
      </c>
      <c r="C53" s="395">
        <v>175.59</v>
      </c>
      <c r="D53" s="373"/>
      <c r="E53" s="395"/>
      <c r="F53" s="373"/>
      <c r="G53" s="395"/>
      <c r="H53" s="373">
        <v>2400</v>
      </c>
      <c r="I53" s="395">
        <v>5120</v>
      </c>
      <c r="J53" s="373">
        <v>2400</v>
      </c>
      <c r="K53" s="395">
        <v>800</v>
      </c>
      <c r="L53" s="373">
        <v>1400</v>
      </c>
      <c r="M53" s="395">
        <v>682</v>
      </c>
      <c r="N53" s="313"/>
      <c r="O53" s="395"/>
      <c r="P53" s="313">
        <v>1000</v>
      </c>
      <c r="Q53" s="395">
        <v>108.2</v>
      </c>
    </row>
    <row r="54" spans="1:21" x14ac:dyDescent="0.3">
      <c r="A54" s="313"/>
      <c r="B54" s="373">
        <v>900</v>
      </c>
      <c r="C54" s="395">
        <v>222.3</v>
      </c>
      <c r="D54" s="373"/>
      <c r="E54" s="395"/>
      <c r="F54" s="373"/>
      <c r="G54" s="395"/>
      <c r="H54" s="373">
        <v>3000</v>
      </c>
      <c r="I54" s="466">
        <v>8228.5714285714294</v>
      </c>
      <c r="J54" s="373">
        <v>3000</v>
      </c>
      <c r="K54" s="395">
        <v>1350</v>
      </c>
      <c r="L54" s="373">
        <v>1600</v>
      </c>
      <c r="M54" s="395">
        <v>854</v>
      </c>
      <c r="N54" s="313"/>
      <c r="O54" s="395"/>
      <c r="P54" s="313">
        <v>1100</v>
      </c>
      <c r="Q54" s="395">
        <v>131.6</v>
      </c>
      <c r="S54" s="456"/>
      <c r="T54" s="456"/>
      <c r="U54" s="456"/>
    </row>
    <row r="55" spans="1:21" ht="15" thickBot="1" x14ac:dyDescent="0.35">
      <c r="A55" s="313"/>
      <c r="B55" s="376">
        <v>1000</v>
      </c>
      <c r="C55" s="397">
        <v>272.87</v>
      </c>
      <c r="D55" s="376"/>
      <c r="E55" s="397"/>
      <c r="F55" s="376"/>
      <c r="G55" s="397"/>
      <c r="H55" s="376"/>
      <c r="I55" s="397"/>
      <c r="J55" s="376"/>
      <c r="K55" s="397"/>
      <c r="L55" s="376">
        <v>1800</v>
      </c>
      <c r="M55" s="397">
        <v>1046</v>
      </c>
      <c r="N55" s="318"/>
      <c r="O55" s="397"/>
      <c r="P55" s="318">
        <v>1200</v>
      </c>
      <c r="Q55" s="397">
        <v>155</v>
      </c>
      <c r="S55" s="456"/>
      <c r="T55" s="456"/>
      <c r="U55" s="456"/>
    </row>
    <row r="56" spans="1:21" ht="15" thickBot="1" x14ac:dyDescent="0.35">
      <c r="A56" s="313"/>
      <c r="D56" s="467"/>
      <c r="E56" s="467"/>
      <c r="F56" s="467"/>
      <c r="G56" s="467"/>
      <c r="H56" s="467"/>
      <c r="I56" s="467"/>
      <c r="J56" s="467"/>
      <c r="K56" s="467"/>
      <c r="L56" s="467"/>
      <c r="M56" s="467"/>
      <c r="N56" s="467"/>
      <c r="O56" s="467"/>
      <c r="P56" s="467"/>
      <c r="Q56" s="467"/>
      <c r="R56" s="456"/>
      <c r="S56" s="314"/>
      <c r="T56" s="314"/>
      <c r="U56" s="314"/>
    </row>
    <row r="57" spans="1:21" x14ac:dyDescent="0.3">
      <c r="A57" s="313"/>
      <c r="B57" s="524"/>
      <c r="C57" s="468" t="s">
        <v>704</v>
      </c>
      <c r="D57" s="310" t="s">
        <v>579</v>
      </c>
      <c r="E57" s="336" t="s">
        <v>442</v>
      </c>
      <c r="F57" s="337" t="s">
        <v>444</v>
      </c>
      <c r="G57" s="314" t="s">
        <v>527</v>
      </c>
      <c r="H57" s="313"/>
      <c r="I57" s="313"/>
      <c r="J57" s="313"/>
      <c r="K57" s="313"/>
      <c r="L57" s="313"/>
      <c r="M57" s="313"/>
      <c r="N57" s="313"/>
      <c r="O57" s="313"/>
      <c r="P57" s="313"/>
      <c r="Q57" s="313"/>
      <c r="S57" s="313"/>
      <c r="T57" s="313"/>
      <c r="U57" s="313"/>
    </row>
    <row r="58" spans="1:21" x14ac:dyDescent="0.3">
      <c r="A58" s="313"/>
      <c r="B58" s="469" t="s">
        <v>3</v>
      </c>
      <c r="C58" s="374">
        <v>2.37</v>
      </c>
      <c r="D58" s="315"/>
      <c r="E58" s="480">
        <f t="shared" ref="E58:E65" si="4">IF(D58=0,C58,D58)</f>
        <v>2.37</v>
      </c>
      <c r="F58" s="457" t="s">
        <v>765</v>
      </c>
      <c r="G58" s="313" t="s">
        <v>759</v>
      </c>
      <c r="S58" s="313"/>
      <c r="T58" s="313"/>
      <c r="U58" s="313"/>
    </row>
    <row r="59" spans="1:21" x14ac:dyDescent="0.3">
      <c r="A59" s="374"/>
      <c r="B59" s="469" t="s">
        <v>7</v>
      </c>
      <c r="C59" s="406">
        <v>2.2955070200000001</v>
      </c>
      <c r="D59" s="315"/>
      <c r="E59" s="481">
        <f t="shared" si="4"/>
        <v>2.2955070200000001</v>
      </c>
      <c r="F59" s="395" t="s">
        <v>765</v>
      </c>
      <c r="G59" s="313" t="s">
        <v>759</v>
      </c>
      <c r="K59" s="1003"/>
      <c r="L59" s="470"/>
      <c r="M59" s="1003"/>
      <c r="N59" s="470"/>
      <c r="O59" s="313"/>
      <c r="P59" s="1003"/>
      <c r="Q59" s="313"/>
      <c r="R59" s="1003"/>
      <c r="S59" s="313"/>
      <c r="T59" s="313"/>
      <c r="U59" s="313"/>
    </row>
    <row r="60" spans="1:21" x14ac:dyDescent="0.3">
      <c r="A60" s="374"/>
      <c r="B60" s="469" t="s">
        <v>8</v>
      </c>
      <c r="C60" s="406">
        <v>2.32592643</v>
      </c>
      <c r="D60" s="315"/>
      <c r="E60" s="481">
        <f t="shared" si="4"/>
        <v>2.32592643</v>
      </c>
      <c r="F60" s="395" t="s">
        <v>765</v>
      </c>
      <c r="G60" s="313" t="s">
        <v>759</v>
      </c>
      <c r="K60" s="1003"/>
      <c r="L60" s="470"/>
      <c r="M60" s="313"/>
      <c r="N60" s="470"/>
      <c r="O60" s="313"/>
      <c r="P60" s="1003"/>
      <c r="Q60" s="470"/>
      <c r="R60" s="313"/>
      <c r="S60" s="470"/>
      <c r="T60" s="313"/>
      <c r="U60" s="313"/>
    </row>
    <row r="61" spans="1:21" x14ac:dyDescent="0.3">
      <c r="A61" s="374"/>
      <c r="B61" s="469" t="s">
        <v>5</v>
      </c>
      <c r="C61" s="406">
        <v>9.1317307692307698E-2</v>
      </c>
      <c r="D61" s="315"/>
      <c r="E61" s="475">
        <f t="shared" si="4"/>
        <v>9.1317307692307698E-2</v>
      </c>
      <c r="F61" s="395" t="s">
        <v>765</v>
      </c>
      <c r="G61" s="313" t="s">
        <v>759</v>
      </c>
      <c r="K61" s="313"/>
      <c r="L61" s="313"/>
      <c r="M61" s="313"/>
      <c r="N61" s="313"/>
      <c r="O61" s="313"/>
      <c r="P61" s="313"/>
      <c r="Q61" s="313"/>
      <c r="R61" s="313"/>
      <c r="S61" s="313"/>
      <c r="T61" s="313"/>
      <c r="U61" s="313"/>
    </row>
    <row r="62" spans="1:21" x14ac:dyDescent="0.3">
      <c r="A62" s="374"/>
      <c r="B62" s="469" t="s">
        <v>6</v>
      </c>
      <c r="C62" s="374">
        <v>1.9</v>
      </c>
      <c r="D62" s="315"/>
      <c r="E62" s="481">
        <f t="shared" si="4"/>
        <v>1.9</v>
      </c>
      <c r="F62" s="395" t="s">
        <v>765</v>
      </c>
      <c r="G62" s="313" t="s">
        <v>945</v>
      </c>
      <c r="K62" s="456"/>
      <c r="L62" s="456"/>
      <c r="M62" s="456"/>
      <c r="N62" s="456"/>
      <c r="O62" s="456"/>
      <c r="P62" s="456"/>
      <c r="Q62" s="456"/>
      <c r="R62" s="456"/>
      <c r="S62" s="456"/>
      <c r="T62" s="456"/>
      <c r="U62" s="456"/>
    </row>
    <row r="63" spans="1:21" x14ac:dyDescent="0.3">
      <c r="A63" s="374"/>
      <c r="B63" s="469" t="s">
        <v>9</v>
      </c>
      <c r="C63" s="406">
        <v>1.59444414</v>
      </c>
      <c r="D63" s="315"/>
      <c r="E63" s="481">
        <f t="shared" si="4"/>
        <v>1.59444414</v>
      </c>
      <c r="F63" s="395" t="s">
        <v>765</v>
      </c>
      <c r="G63" s="313" t="s">
        <v>759</v>
      </c>
      <c r="K63" s="1270"/>
      <c r="L63" s="1270"/>
      <c r="M63" s="1270"/>
      <c r="N63" s="1270"/>
      <c r="O63" s="1270"/>
      <c r="P63" s="1270"/>
      <c r="Q63" s="1270"/>
      <c r="R63" s="1270"/>
      <c r="S63" s="1270"/>
      <c r="T63" s="1270"/>
      <c r="U63" s="1270"/>
    </row>
    <row r="64" spans="1:21" x14ac:dyDescent="0.3">
      <c r="A64" s="374"/>
      <c r="B64" s="469" t="s">
        <v>553</v>
      </c>
      <c r="C64" s="473">
        <f>4.7+0.357</f>
        <v>5.0570000000000004</v>
      </c>
      <c r="D64" s="315"/>
      <c r="E64" s="481">
        <f t="shared" si="4"/>
        <v>5.0570000000000004</v>
      </c>
      <c r="F64" s="395" t="s">
        <v>765</v>
      </c>
      <c r="G64" s="313" t="s">
        <v>759</v>
      </c>
      <c r="K64" s="313"/>
      <c r="L64" s="995"/>
      <c r="M64" s="995"/>
      <c r="N64" s="314"/>
      <c r="O64" s="314"/>
      <c r="P64" s="313"/>
      <c r="Q64" s="995"/>
      <c r="R64" s="995"/>
      <c r="S64" s="314"/>
      <c r="T64" s="314"/>
      <c r="U64" s="314"/>
    </row>
    <row r="65" spans="1:21" ht="15" thickBot="1" x14ac:dyDescent="0.35">
      <c r="A65" s="374"/>
      <c r="B65" s="379" t="s">
        <v>14</v>
      </c>
      <c r="C65" s="411">
        <v>1.9</v>
      </c>
      <c r="D65" s="319"/>
      <c r="E65" s="514">
        <f t="shared" si="4"/>
        <v>1.9</v>
      </c>
      <c r="F65" s="397" t="s">
        <v>765</v>
      </c>
      <c r="G65" s="313" t="s">
        <v>759</v>
      </c>
      <c r="K65" s="1003"/>
      <c r="L65" s="313"/>
      <c r="M65" s="1003"/>
      <c r="N65" s="470"/>
      <c r="O65" s="313"/>
      <c r="P65" s="1003"/>
      <c r="Q65" s="313"/>
      <c r="R65" s="1003"/>
      <c r="S65" s="313"/>
      <c r="T65" s="313"/>
      <c r="U65" s="313"/>
    </row>
    <row r="66" spans="1:21" x14ac:dyDescent="0.3">
      <c r="A66" s="374"/>
      <c r="B66" s="313"/>
      <c r="C66" s="314"/>
      <c r="K66" s="1003"/>
      <c r="L66" s="470"/>
      <c r="M66" s="1003"/>
      <c r="N66" s="470"/>
      <c r="O66" s="313"/>
      <c r="P66" s="1003"/>
      <c r="Q66" s="313"/>
      <c r="R66" s="1003"/>
      <c r="S66" s="313"/>
      <c r="T66" s="313"/>
      <c r="U66" s="313"/>
    </row>
    <row r="67" spans="1:21" x14ac:dyDescent="0.3">
      <c r="A67" s="374"/>
      <c r="B67" s="313"/>
      <c r="C67" s="314"/>
      <c r="K67" s="1003"/>
      <c r="L67" s="470"/>
      <c r="M67" s="313"/>
      <c r="N67" s="470"/>
      <c r="O67" s="313"/>
      <c r="P67" s="1003"/>
      <c r="Q67" s="470"/>
      <c r="R67" s="313"/>
      <c r="S67" s="470"/>
      <c r="T67" s="313"/>
      <c r="U67" s="313"/>
    </row>
  </sheetData>
  <sheetProtection algorithmName="SHA-512" hashValue="Ccoyl3uswUKccXvdAGrbg3ATcHjIRnF8hzQqvXFcKbY6m6Sj5GcSFhljE/e0tYJlNecU3A+438oRzMOCNWnOsg==" saltValue="1syRSHkjFdTh0aQHBCZ6Iw==" spinCount="100000" sheet="1" objects="1" scenarios="1" formatColumns="0" formatRows="0"/>
  <mergeCells count="8">
    <mergeCell ref="A1:L1"/>
    <mergeCell ref="B15:F15"/>
    <mergeCell ref="G15:L15"/>
    <mergeCell ref="K63:O63"/>
    <mergeCell ref="P63:U63"/>
    <mergeCell ref="L36:O36"/>
    <mergeCell ref="B26:F26"/>
    <mergeCell ref="G26:L26"/>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Ark1"/>
  <dimension ref="A1:T60"/>
  <sheetViews>
    <sheetView workbookViewId="0"/>
  </sheetViews>
  <sheetFormatPr baseColWidth="10" defaultColWidth="9.109375" defaultRowHeight="14.4" x14ac:dyDescent="0.3"/>
  <cols>
    <col min="1" max="1" width="36.88671875" style="16" bestFit="1" customWidth="1"/>
    <col min="2" max="2" width="17.33203125" style="16" bestFit="1" customWidth="1"/>
    <col min="3" max="3" width="20.5546875" style="16" bestFit="1" customWidth="1"/>
    <col min="4" max="4" width="26.6640625" style="16" bestFit="1" customWidth="1"/>
    <col min="5" max="5" width="28.5546875" style="16" bestFit="1" customWidth="1"/>
    <col min="6" max="6" width="32.33203125" style="16" bestFit="1" customWidth="1"/>
    <col min="7" max="7" width="23.6640625" style="16" bestFit="1" customWidth="1"/>
    <col min="8" max="8" width="26.33203125" style="16" customWidth="1"/>
    <col min="9" max="9" width="22.44140625" style="16" customWidth="1"/>
    <col min="10" max="10" width="22.44140625" style="16" bestFit="1" customWidth="1"/>
    <col min="11" max="11" width="26.6640625" style="16" bestFit="1" customWidth="1"/>
    <col min="12" max="12" width="36.109375" style="16" bestFit="1" customWidth="1"/>
    <col min="13" max="13" width="32.33203125" style="16" bestFit="1" customWidth="1"/>
    <col min="14" max="14" width="22.44140625" style="16" bestFit="1" customWidth="1"/>
    <col min="15" max="15" width="26.6640625" style="16" bestFit="1" customWidth="1"/>
    <col min="16" max="16" width="28.5546875" style="16" bestFit="1" customWidth="1"/>
    <col min="17" max="17" width="36.109375" style="16" bestFit="1" customWidth="1"/>
    <col min="18" max="16384" width="9.109375" style="16"/>
  </cols>
  <sheetData>
    <row r="1" spans="1:17" ht="16.2" thickBot="1" x14ac:dyDescent="0.35">
      <c r="A1" s="24" t="s">
        <v>440</v>
      </c>
    </row>
    <row r="2" spans="1:17" x14ac:dyDescent="0.3">
      <c r="A2" s="137"/>
      <c r="B2" s="1272" t="s">
        <v>415</v>
      </c>
      <c r="C2" s="1273"/>
      <c r="D2" s="1273"/>
      <c r="E2" s="1273"/>
      <c r="F2" s="1274"/>
      <c r="G2" s="138"/>
      <c r="H2" s="1272" t="s">
        <v>412</v>
      </c>
      <c r="I2" s="1273"/>
      <c r="J2" s="1273"/>
      <c r="K2" s="1273"/>
      <c r="L2" s="1275"/>
      <c r="M2" s="1272" t="s">
        <v>548</v>
      </c>
      <c r="N2" s="1273"/>
      <c r="O2" s="1273"/>
      <c r="P2" s="1273"/>
      <c r="Q2" s="1275"/>
    </row>
    <row r="3" spans="1:17" x14ac:dyDescent="0.3">
      <c r="A3" s="139" t="s">
        <v>414</v>
      </c>
      <c r="B3" s="140" t="s">
        <v>419</v>
      </c>
      <c r="C3" s="141" t="s">
        <v>420</v>
      </c>
      <c r="D3" s="141" t="s">
        <v>341</v>
      </c>
      <c r="E3" s="141" t="s">
        <v>342</v>
      </c>
      <c r="F3" s="141" t="s">
        <v>431</v>
      </c>
      <c r="G3" s="140" t="s">
        <v>414</v>
      </c>
      <c r="H3" s="140" t="s">
        <v>419</v>
      </c>
      <c r="I3" s="141" t="s">
        <v>420</v>
      </c>
      <c r="J3" s="141" t="s">
        <v>341</v>
      </c>
      <c r="K3" s="141" t="s">
        <v>342</v>
      </c>
      <c r="L3" s="143" t="s">
        <v>431</v>
      </c>
      <c r="M3" s="140" t="s">
        <v>419</v>
      </c>
      <c r="N3" s="141" t="s">
        <v>420</v>
      </c>
      <c r="O3" s="141" t="s">
        <v>341</v>
      </c>
      <c r="P3" s="141" t="s">
        <v>342</v>
      </c>
      <c r="Q3" s="143" t="s">
        <v>431</v>
      </c>
    </row>
    <row r="4" spans="1:17" x14ac:dyDescent="0.3">
      <c r="A4" s="144" t="s">
        <v>0</v>
      </c>
      <c r="B4" s="145">
        <f>D47*9898</f>
        <v>12867.4</v>
      </c>
      <c r="C4" s="146">
        <f>D47*5539.1</f>
        <v>7200.8300000000008</v>
      </c>
      <c r="D4" s="146">
        <f>B4/$D$47*$D$45</f>
        <v>12867.4</v>
      </c>
      <c r="E4" s="146">
        <f>$D$46</f>
        <v>7340</v>
      </c>
      <c r="F4" s="146"/>
      <c r="G4" s="147" t="s">
        <v>0</v>
      </c>
      <c r="H4" s="145">
        <f>8489*D47</f>
        <v>11035.7</v>
      </c>
      <c r="I4" s="146">
        <f>D47*4560.1</f>
        <v>5928.130000000001</v>
      </c>
      <c r="J4" s="146">
        <f>H4/$D$47*$D$45</f>
        <v>11035.7</v>
      </c>
      <c r="K4" s="146">
        <f>$D$46</f>
        <v>7340</v>
      </c>
      <c r="L4" s="148"/>
      <c r="M4" s="145">
        <f>5589.8*D47</f>
        <v>7266.7400000000007</v>
      </c>
      <c r="N4" s="146">
        <f>D47*2819.1</f>
        <v>3664.83</v>
      </c>
      <c r="O4" s="146">
        <f>M4/$D$47*$D$45</f>
        <v>7266.7400000000007</v>
      </c>
      <c r="P4" s="146">
        <f>$D$46</f>
        <v>7340</v>
      </c>
      <c r="Q4" s="148"/>
    </row>
    <row r="5" spans="1:17" x14ac:dyDescent="0.3">
      <c r="A5" s="144" t="s">
        <v>339</v>
      </c>
      <c r="B5" s="147">
        <f>9765*D47</f>
        <v>12694.5</v>
      </c>
      <c r="C5" s="146">
        <f>5512.61*D47</f>
        <v>7166.393</v>
      </c>
      <c r="D5" s="146">
        <f>B5/$D$47*$D$45</f>
        <v>12694.5</v>
      </c>
      <c r="E5" s="146">
        <f>$D$46</f>
        <v>7340</v>
      </c>
      <c r="F5" s="146"/>
      <c r="G5" s="147" t="s">
        <v>339</v>
      </c>
      <c r="H5" s="145">
        <f>8378.7*D47</f>
        <v>10892.310000000001</v>
      </c>
      <c r="I5" s="146">
        <f>4538*D47</f>
        <v>5899.4000000000005</v>
      </c>
      <c r="J5" s="146">
        <f>H5/$D$47*$D$45</f>
        <v>10892.310000000001</v>
      </c>
      <c r="K5" s="146">
        <f>$D$46</f>
        <v>7340</v>
      </c>
      <c r="L5" s="148"/>
      <c r="M5" s="197">
        <f>5567*D47</f>
        <v>7237.1</v>
      </c>
      <c r="N5" s="198">
        <f>2814.64*D47</f>
        <v>3659.0320000000002</v>
      </c>
      <c r="O5" s="146">
        <f>M5/$D$47*$D$45</f>
        <v>7237.1</v>
      </c>
      <c r="P5" s="146">
        <f>$D$46</f>
        <v>7340</v>
      </c>
      <c r="Q5" s="194"/>
    </row>
    <row r="6" spans="1:17" x14ac:dyDescent="0.3">
      <c r="A6" s="144" t="s">
        <v>13</v>
      </c>
      <c r="B6" s="145">
        <f>601.06*D47</f>
        <v>781.37799999999993</v>
      </c>
      <c r="C6" s="146">
        <f>D47*229.78</f>
        <v>298.714</v>
      </c>
      <c r="D6" s="146">
        <f>2069/CO2_diesel</f>
        <v>625.07552870090637</v>
      </c>
      <c r="E6" s="146">
        <f>15027/CO2_diesel</f>
        <v>4539.8791540785496</v>
      </c>
      <c r="F6" s="146"/>
      <c r="G6" s="147" t="s">
        <v>13</v>
      </c>
      <c r="H6" s="145">
        <f>656.5*D47</f>
        <v>853.45</v>
      </c>
      <c r="I6" s="146">
        <f>D47*286.69</f>
        <v>372.697</v>
      </c>
      <c r="J6" s="146">
        <f>2259.9/CO2_diesel</f>
        <v>682.74924471299096</v>
      </c>
      <c r="K6" s="146">
        <f>12280/CO2_diesel</f>
        <v>3709.9697885196374</v>
      </c>
      <c r="L6" s="148"/>
      <c r="M6" s="197">
        <f>472.37*D47</f>
        <v>614.08100000000002</v>
      </c>
      <c r="N6" s="198">
        <f>D47*204.05</f>
        <v>265.26500000000004</v>
      </c>
      <c r="O6" s="198">
        <f>1626/CO2_diesel</f>
        <v>491.23867069486403</v>
      </c>
      <c r="P6" s="198">
        <f>9532.8/CO2_diesel</f>
        <v>2879.9999999999995</v>
      </c>
      <c r="Q6" s="194"/>
    </row>
    <row r="7" spans="1:17" ht="15" thickBot="1" x14ac:dyDescent="0.35">
      <c r="A7" s="149" t="s">
        <v>14</v>
      </c>
      <c r="B7" s="150"/>
      <c r="C7" s="151"/>
      <c r="D7" s="151"/>
      <c r="E7" s="151">
        <f>28797/CO2_diesel</f>
        <v>8700</v>
      </c>
      <c r="F7" s="151">
        <f>625.59/CO2_diesel</f>
        <v>189</v>
      </c>
      <c r="G7" s="152" t="s">
        <v>14</v>
      </c>
      <c r="H7" s="152"/>
      <c r="I7" s="153"/>
      <c r="J7" s="153"/>
      <c r="K7" s="151">
        <f>23170/CO2_diesel</f>
        <v>7000</v>
      </c>
      <c r="L7" s="154">
        <f>500.472/CO2_diesel</f>
        <v>151.19999999999999</v>
      </c>
      <c r="M7" s="195"/>
      <c r="N7" s="196"/>
      <c r="O7" s="196"/>
      <c r="P7" s="199">
        <f>5627/CO2_diesel</f>
        <v>1700</v>
      </c>
      <c r="Q7" s="200">
        <f>417.06/CO2_diesel</f>
        <v>126</v>
      </c>
    </row>
    <row r="8" spans="1:17" ht="15" thickBot="1" x14ac:dyDescent="0.35">
      <c r="M8" s="114"/>
    </row>
    <row r="9" spans="1:17" x14ac:dyDescent="0.3">
      <c r="A9" s="137"/>
      <c r="B9" s="1272" t="s">
        <v>415</v>
      </c>
      <c r="C9" s="1273"/>
      <c r="D9" s="1273"/>
      <c r="E9" s="1273"/>
      <c r="F9" s="1274"/>
      <c r="G9" s="138"/>
      <c r="H9" s="1272" t="s">
        <v>412</v>
      </c>
      <c r="I9" s="1273"/>
      <c r="J9" s="1273"/>
      <c r="K9" s="1273"/>
      <c r="L9" s="1275"/>
      <c r="M9" s="1272" t="s">
        <v>548</v>
      </c>
      <c r="N9" s="1273"/>
      <c r="O9" s="1273"/>
      <c r="P9" s="1273"/>
      <c r="Q9" s="1275"/>
    </row>
    <row r="10" spans="1:17" x14ac:dyDescent="0.3">
      <c r="A10" s="139" t="s">
        <v>421</v>
      </c>
      <c r="B10" s="140" t="s">
        <v>419</v>
      </c>
      <c r="C10" s="141" t="s">
        <v>420</v>
      </c>
      <c r="D10" s="141" t="s">
        <v>341</v>
      </c>
      <c r="E10" s="141" t="s">
        <v>342</v>
      </c>
      <c r="F10" s="142" t="s">
        <v>431</v>
      </c>
      <c r="G10" s="140" t="s">
        <v>421</v>
      </c>
      <c r="H10" s="140" t="s">
        <v>419</v>
      </c>
      <c r="I10" s="141" t="s">
        <v>420</v>
      </c>
      <c r="J10" s="141" t="s">
        <v>341</v>
      </c>
      <c r="K10" s="141" t="s">
        <v>342</v>
      </c>
      <c r="L10" s="143" t="s">
        <v>431</v>
      </c>
      <c r="M10" s="140" t="s">
        <v>419</v>
      </c>
      <c r="N10" s="141" t="s">
        <v>420</v>
      </c>
      <c r="O10" s="141" t="s">
        <v>341</v>
      </c>
      <c r="P10" s="141" t="s">
        <v>342</v>
      </c>
      <c r="Q10" s="143" t="s">
        <v>431</v>
      </c>
    </row>
    <row r="11" spans="1:17" x14ac:dyDescent="0.3">
      <c r="A11" s="144" t="s">
        <v>0</v>
      </c>
      <c r="B11" s="145">
        <f>D47*13782</f>
        <v>17916.600000000002</v>
      </c>
      <c r="C11" s="146">
        <f>D47*8022.9</f>
        <v>10429.77</v>
      </c>
      <c r="D11" s="146">
        <f>B11/$D$47*$D$45</f>
        <v>17916.600000000002</v>
      </c>
      <c r="E11" s="146">
        <f>$D$46</f>
        <v>7340</v>
      </c>
      <c r="F11" s="146"/>
      <c r="G11" s="147" t="s">
        <v>0</v>
      </c>
      <c r="H11" s="145">
        <f>D47*11958</f>
        <v>15545.4</v>
      </c>
      <c r="I11" s="146">
        <f>D47*6661</f>
        <v>8659.3000000000011</v>
      </c>
      <c r="J11" s="146">
        <f>H11/$D$47*$D$45</f>
        <v>15545.4</v>
      </c>
      <c r="K11" s="146">
        <f>$D$46</f>
        <v>7340</v>
      </c>
      <c r="L11" s="148"/>
      <c r="M11" s="145">
        <f>6300.9*D47</f>
        <v>8191.17</v>
      </c>
      <c r="N11" s="146">
        <f>D47*3198.8</f>
        <v>4158.4400000000005</v>
      </c>
      <c r="O11" s="146">
        <f>M11/$D$47*$D$45</f>
        <v>8191.17</v>
      </c>
      <c r="P11" s="146">
        <f>$D$46</f>
        <v>7340</v>
      </c>
      <c r="Q11" s="148"/>
    </row>
    <row r="12" spans="1:17" ht="14.25" customHeight="1" x14ac:dyDescent="0.3">
      <c r="A12" s="144" t="s">
        <v>339</v>
      </c>
      <c r="B12" s="147">
        <f>13305*D47</f>
        <v>17296.5</v>
      </c>
      <c r="C12" s="146">
        <f>7927*D47</f>
        <v>10305.1</v>
      </c>
      <c r="D12" s="146">
        <f>B12/$D$47*$D$45</f>
        <v>17296.5</v>
      </c>
      <c r="E12" s="146">
        <f>$D$46</f>
        <v>7340</v>
      </c>
      <c r="F12" s="146"/>
      <c r="G12" s="147" t="s">
        <v>339</v>
      </c>
      <c r="H12" s="145">
        <f>11543.9*D47</f>
        <v>15007.07</v>
      </c>
      <c r="I12" s="146">
        <f>D47*6578.23</f>
        <v>8551.6990000000005</v>
      </c>
      <c r="J12" s="146">
        <f>H12/$D$47*$D$45</f>
        <v>15007.07</v>
      </c>
      <c r="K12" s="146">
        <f>$D$46</f>
        <v>7340</v>
      </c>
      <c r="L12" s="148"/>
      <c r="M12" s="197">
        <f>6239.61*D47</f>
        <v>8111.4929999999995</v>
      </c>
      <c r="N12" s="198">
        <f>3186.48*D47</f>
        <v>4142.424</v>
      </c>
      <c r="O12" s="146">
        <f>M12/$D$47*$D$45</f>
        <v>8111.4929999999995</v>
      </c>
      <c r="P12" s="146">
        <f>$D$46</f>
        <v>7340</v>
      </c>
      <c r="Q12" s="201"/>
    </row>
    <row r="13" spans="1:17" x14ac:dyDescent="0.3">
      <c r="A13" s="144" t="s">
        <v>13</v>
      </c>
      <c r="B13" s="145">
        <f>652.72*D47</f>
        <v>848.53600000000006</v>
      </c>
      <c r="C13" s="146">
        <f>243.01*D47</f>
        <v>315.91300000000001</v>
      </c>
      <c r="D13" s="146">
        <f>2289/3.31</f>
        <v>691.54078549848941</v>
      </c>
      <c r="E13" s="146">
        <v>4540</v>
      </c>
      <c r="F13" s="146"/>
      <c r="G13" s="147" t="s">
        <v>13</v>
      </c>
      <c r="H13" s="145">
        <f>D47*770.27</f>
        <v>1001.351</v>
      </c>
      <c r="I13" s="146">
        <f>287.79*D47</f>
        <v>374.12700000000007</v>
      </c>
      <c r="J13" s="146">
        <f>2651/CO2_diesel</f>
        <v>800.90634441087616</v>
      </c>
      <c r="K13" s="146">
        <f>12280/CO2_diesel</f>
        <v>3709.9697885196374</v>
      </c>
      <c r="L13" s="148"/>
      <c r="M13" s="197">
        <f>566.05*D47</f>
        <v>735.86500000000001</v>
      </c>
      <c r="N13" s="198">
        <f>D47*253.55</f>
        <v>329.61500000000001</v>
      </c>
      <c r="O13" s="198">
        <f>1948.56724/CO2_diesel</f>
        <v>588.69100906344408</v>
      </c>
      <c r="P13" s="198">
        <f>9532.8/CO2_diesel</f>
        <v>2879.9999999999995</v>
      </c>
      <c r="Q13" s="201"/>
    </row>
    <row r="14" spans="1:17" ht="15" thickBot="1" x14ac:dyDescent="0.35">
      <c r="A14" s="149" t="s">
        <v>14</v>
      </c>
      <c r="B14" s="150"/>
      <c r="C14" s="151"/>
      <c r="D14" s="151"/>
      <c r="E14" s="151">
        <f>31610.5/3.31</f>
        <v>9550</v>
      </c>
      <c r="F14" s="151">
        <f>625.59/3.31</f>
        <v>189</v>
      </c>
      <c r="G14" s="152" t="s">
        <v>14</v>
      </c>
      <c r="H14" s="152"/>
      <c r="I14" s="153"/>
      <c r="J14" s="153"/>
      <c r="K14" s="153">
        <f>24328.5/CO2_diesel</f>
        <v>7350</v>
      </c>
      <c r="L14" s="154">
        <f>500.472/CO2_diesel</f>
        <v>151.19999999999999</v>
      </c>
      <c r="M14" s="195"/>
      <c r="N14" s="196"/>
      <c r="O14" s="202"/>
      <c r="P14" s="199">
        <f>7282/CO2_diesel</f>
        <v>2200</v>
      </c>
      <c r="Q14" s="200">
        <f>417.06/CO2_diesel</f>
        <v>126</v>
      </c>
    </row>
    <row r="17" spans="1:20" ht="18.600000000000001" thickBot="1" x14ac:dyDescent="0.4">
      <c r="A17" s="70" t="s">
        <v>338</v>
      </c>
    </row>
    <row r="18" spans="1:20" x14ac:dyDescent="0.3">
      <c r="A18" s="137" t="s">
        <v>446</v>
      </c>
      <c r="B18" s="138"/>
      <c r="C18" s="155"/>
      <c r="D18" s="155"/>
      <c r="E18" s="155"/>
      <c r="F18" s="155"/>
      <c r="G18" s="155"/>
      <c r="H18" s="156"/>
      <c r="I18" s="137" t="s">
        <v>438</v>
      </c>
      <c r="J18" s="138"/>
      <c r="K18" s="155"/>
      <c r="L18" s="155"/>
      <c r="M18" s="155"/>
      <c r="N18" s="155"/>
      <c r="O18" s="155"/>
      <c r="P18" s="156"/>
    </row>
    <row r="19" spans="1:20" x14ac:dyDescent="0.3">
      <c r="A19" s="139" t="s">
        <v>439</v>
      </c>
      <c r="B19" s="140">
        <v>100</v>
      </c>
      <c r="C19" s="141">
        <v>150</v>
      </c>
      <c r="D19" s="141">
        <v>200</v>
      </c>
      <c r="E19" s="141">
        <v>250</v>
      </c>
      <c r="F19" s="141">
        <v>300</v>
      </c>
      <c r="G19" s="141">
        <v>400</v>
      </c>
      <c r="H19" s="143">
        <v>600</v>
      </c>
      <c r="I19" s="139" t="s">
        <v>445</v>
      </c>
      <c r="J19" s="140">
        <v>100</v>
      </c>
      <c r="K19" s="141">
        <v>150</v>
      </c>
      <c r="L19" s="141">
        <v>200</v>
      </c>
      <c r="M19" s="141">
        <v>250</v>
      </c>
      <c r="N19" s="141">
        <v>300</v>
      </c>
      <c r="O19" s="141">
        <v>400</v>
      </c>
      <c r="P19" s="143">
        <v>600</v>
      </c>
    </row>
    <row r="20" spans="1:20" x14ac:dyDescent="0.3">
      <c r="A20" s="144" t="s">
        <v>3</v>
      </c>
      <c r="B20" s="145">
        <f>Rørdatatabell!D70*1000</f>
        <v>3100</v>
      </c>
      <c r="C20" s="157">
        <f>Rørdatatabell!D72*1000</f>
        <v>5750</v>
      </c>
      <c r="D20" s="157">
        <f>Rørdatatabell!D73*1000</f>
        <v>10230</v>
      </c>
      <c r="E20" s="157">
        <f>Rørdatatabell!D75*1000</f>
        <v>16950</v>
      </c>
      <c r="F20" s="157">
        <f>Rørdatatabell!D76*1000</f>
        <v>24000</v>
      </c>
      <c r="G20" s="157">
        <f>Rørdatatabell!D78*1000</f>
        <v>40800</v>
      </c>
      <c r="H20" s="148">
        <f>Rørdatatabell!D81*1000</f>
        <v>100000</v>
      </c>
      <c r="I20" s="144" t="s">
        <v>3</v>
      </c>
      <c r="J20" s="209">
        <f>$D51*B20</f>
        <v>7348.06017258469</v>
      </c>
      <c r="K20" s="146">
        <f t="shared" ref="K20:P20" si="0">$D51*C20</f>
        <v>13629.46644914902</v>
      </c>
      <c r="L20" s="146">
        <f t="shared" si="0"/>
        <v>24248.598569529477</v>
      </c>
      <c r="M20" s="146">
        <f t="shared" si="0"/>
        <v>40177.296750100155</v>
      </c>
      <c r="N20" s="146">
        <f t="shared" si="0"/>
        <v>56888.207787752435</v>
      </c>
      <c r="O20" s="146">
        <f t="shared" si="0"/>
        <v>96709.953239179144</v>
      </c>
      <c r="P20" s="158">
        <f t="shared" si="0"/>
        <v>237034.19911563516</v>
      </c>
    </row>
    <row r="21" spans="1:20" x14ac:dyDescent="0.3">
      <c r="A21" s="144" t="s">
        <v>7</v>
      </c>
      <c r="B21" s="145">
        <f>Rørdatatabell!D301*1000</f>
        <v>1499.4489441000001</v>
      </c>
      <c r="C21" s="146">
        <f>VLOOKUP(C19,Rørdatatabell!$B$301:$D$312,3,FALSE)*1000</f>
        <v>2743.8149741000002</v>
      </c>
      <c r="D21" s="146">
        <f>VLOOKUP(D19,Rørdatatabell!$B$301:$D$312,3,FALSE)*1000</f>
        <v>4563.1305041000005</v>
      </c>
      <c r="E21" s="146">
        <f>VLOOKUP(E19,Rørdatatabell!$B$301:$D$312,3,FALSE)*1000</f>
        <v>6957.395534100001</v>
      </c>
      <c r="F21" s="146">
        <f>VLOOKUP(F19,Rørdatatabell!$B$301:$D$312,3,FALSE)*1000</f>
        <v>9926.6100640999994</v>
      </c>
      <c r="G21" s="146">
        <f>VLOOKUP(G19,Rørdatatabell!$B$301:$D$312,3,FALSE)*1000</f>
        <v>17589.8876241</v>
      </c>
      <c r="H21" s="158">
        <f>VLOOKUP(H19,Rørdatatabell!$B$301:$D$312,3,FALSE)*1000</f>
        <v>39800</v>
      </c>
      <c r="I21" s="144" t="s">
        <v>7</v>
      </c>
      <c r="J21" s="145">
        <f>$D52*B21</f>
        <v>3441.99557606288</v>
      </c>
      <c r="K21" s="146">
        <f t="shared" ref="K21:P24" si="1">$D52*C21</f>
        <v>6298.4465323398435</v>
      </c>
      <c r="L21" s="146">
        <f t="shared" si="1"/>
        <v>10474.698101532898</v>
      </c>
      <c r="M21" s="146">
        <f t="shared" si="1"/>
        <v>15970.750283642044</v>
      </c>
      <c r="N21" s="146">
        <f t="shared" si="1"/>
        <v>22786.603078667275</v>
      </c>
      <c r="O21" s="146">
        <f t="shared" si="1"/>
        <v>40377.710507466021</v>
      </c>
      <c r="P21" s="158">
        <f t="shared" si="1"/>
        <v>91361.179362814291</v>
      </c>
    </row>
    <row r="22" spans="1:20" x14ac:dyDescent="0.3">
      <c r="A22" s="144" t="s">
        <v>8</v>
      </c>
      <c r="B22" s="147">
        <f>VLOOKUP(B19,Rørdatatabell!$B$313:$D$324,3,FALSE)*1000</f>
        <v>2713.6</v>
      </c>
      <c r="C22" s="157">
        <f>VLOOKUP(C19,Rørdatatabell!$B$313:$D$324,3,FALSE)*1000</f>
        <v>4863.5999999999995</v>
      </c>
      <c r="D22" s="157">
        <f>VLOOKUP(D19,Rørdatatabell!$B$313:$D$324,3,FALSE)*1000</f>
        <v>7513.5999999999995</v>
      </c>
      <c r="E22" s="157">
        <f>VLOOKUP(E19,Rørdatatabell!$B$313:$D$324,3,FALSE)*1000</f>
        <v>10663.6</v>
      </c>
      <c r="F22" s="157">
        <f>VLOOKUP(F19,Rørdatatabell!$B$313:$D$324,3,FALSE)*1000</f>
        <v>14313.599999999999</v>
      </c>
      <c r="G22" s="157">
        <f>VLOOKUP(G19,Rørdatatabell!$B$313:$D$324,3,FALSE)*1000</f>
        <v>23113.599999999999</v>
      </c>
      <c r="H22" s="148">
        <f>VLOOKUP(H19,Rørdatatabell!$B$313:$D$324,3,FALSE)*1000</f>
        <v>69640</v>
      </c>
      <c r="I22" s="144" t="s">
        <v>8</v>
      </c>
      <c r="J22" s="145">
        <f>$D53*B22</f>
        <v>6311.6339683593496</v>
      </c>
      <c r="K22" s="146">
        <f t="shared" si="1"/>
        <v>11312.375799127554</v>
      </c>
      <c r="L22" s="146">
        <f t="shared" si="1"/>
        <v>17476.080846353481</v>
      </c>
      <c r="M22" s="146">
        <f t="shared" si="1"/>
        <v>24802.749110037134</v>
      </c>
      <c r="N22" s="146">
        <f t="shared" si="1"/>
        <v>33292.380590178502</v>
      </c>
      <c r="O22" s="146">
        <f t="shared" si="1"/>
        <v>53760.533199834412</v>
      </c>
      <c r="P22" s="158">
        <f t="shared" si="1"/>
        <v>161977.51678823153</v>
      </c>
    </row>
    <row r="23" spans="1:20" x14ac:dyDescent="0.3">
      <c r="A23" s="144" t="s">
        <v>5</v>
      </c>
      <c r="B23" s="145">
        <f>VLOOKUP(B19,Rørdatatabell!$B$262:$D$282,3,FALSE)*1000</f>
        <v>30000</v>
      </c>
      <c r="C23" s="146">
        <f>VLOOKUP(C19,Rørdatatabell!$B$262:$D$282,3,FALSE)*1000</f>
        <v>55000</v>
      </c>
      <c r="D23" s="146">
        <f>VLOOKUP(D19,Rørdatatabell!$B$262:$D$282,3,FALSE)*1000</f>
        <v>90000</v>
      </c>
      <c r="E23" s="146">
        <f>VLOOKUP(E19,Rørdatatabell!$B$262:$D$282,3,FALSE)*1000</f>
        <v>130000</v>
      </c>
      <c r="F23" s="146">
        <f>VLOOKUP(F19,Rørdatatabell!$B$262:$D$282,3,FALSE)*1000</f>
        <v>170000</v>
      </c>
      <c r="G23" s="146">
        <f>VLOOKUP(G19,Rørdatatabell!$B$262:$D$282,3,FALSE)*1000</f>
        <v>250000</v>
      </c>
      <c r="H23" s="158">
        <f>VLOOKUP(H19,Rørdatatabell!$B$262:$D$282,3,FALSE)*1000</f>
        <v>520000</v>
      </c>
      <c r="I23" s="144" t="s">
        <v>5</v>
      </c>
      <c r="J23" s="145">
        <f>$D54*B23</f>
        <v>3631.2640659007398</v>
      </c>
      <c r="K23" s="146">
        <f t="shared" si="1"/>
        <v>6657.3174541513563</v>
      </c>
      <c r="L23" s="146">
        <f t="shared" si="1"/>
        <v>10893.79219770222</v>
      </c>
      <c r="M23" s="146">
        <f t="shared" si="1"/>
        <v>15735.477618903205</v>
      </c>
      <c r="N23" s="146">
        <f t="shared" si="1"/>
        <v>20577.163040104191</v>
      </c>
      <c r="O23" s="146">
        <f t="shared" si="1"/>
        <v>30260.533882506166</v>
      </c>
      <c r="P23" s="158">
        <f t="shared" si="1"/>
        <v>62941.910475612822</v>
      </c>
    </row>
    <row r="24" spans="1:20" x14ac:dyDescent="0.3">
      <c r="A24" s="144" t="s">
        <v>6</v>
      </c>
      <c r="B24" s="145">
        <f>VLOOKUP(B19,Rørdatatabell!$B$283:$D$300,3,FALSE)*1000</f>
        <v>1556.4764</v>
      </c>
      <c r="C24" s="146">
        <f>VLOOKUP(C19,Rørdatatabell!$B$283:$D$300,3,FALSE)*1000</f>
        <v>3020.5513999999998</v>
      </c>
      <c r="D24" s="146">
        <f>VLOOKUP(D19,Rørdatatabell!$B$283:$D$300,3,FALSE)*1000</f>
        <v>5011.1264000000001</v>
      </c>
      <c r="E24" s="146">
        <f>VLOOKUP(E19,Rørdatatabell!$B$283:$D$300,3,FALSE)*1000</f>
        <v>7528.2013999999999</v>
      </c>
      <c r="F24" s="146">
        <f>VLOOKUP(F19,Rørdatatabell!$B$283:$D$300,3,FALSE)*1000</f>
        <v>10571.776400000001</v>
      </c>
      <c r="G24" s="146">
        <f>VLOOKUP(G19,Rørdatatabell!$B$283:$D$300,3,FALSE)*1000</f>
        <v>18238.426399999997</v>
      </c>
      <c r="H24" s="158">
        <f>VLOOKUP(H19,Rørdatatabell!$B$283:$D$300,3,FALSE)*1000</f>
        <v>40080</v>
      </c>
      <c r="I24" s="144" t="s">
        <v>6</v>
      </c>
      <c r="J24" s="145">
        <f>$D55*B24</f>
        <v>9836.0787005103793</v>
      </c>
      <c r="K24" s="146">
        <f t="shared" si="1"/>
        <v>19088.231141401699</v>
      </c>
      <c r="L24" s="146">
        <f t="shared" si="1"/>
        <v>31667.575331437893</v>
      </c>
      <c r="M24" s="146">
        <f t="shared" si="1"/>
        <v>47574.11127061896</v>
      </c>
      <c r="N24" s="146">
        <f t="shared" si="1"/>
        <v>66807.838958944893</v>
      </c>
      <c r="O24" s="146">
        <f t="shared" si="1"/>
        <v>115256.86958303137</v>
      </c>
      <c r="P24" s="158">
        <f t="shared" si="1"/>
        <v>253283.656801</v>
      </c>
    </row>
    <row r="25" spans="1:20" x14ac:dyDescent="0.3">
      <c r="A25" s="144" t="s">
        <v>9</v>
      </c>
      <c r="B25" s="147">
        <f>VLOOKUP(B19,Rørdatatabell!$B$325:$D$336,3,FALSE)*1000</f>
        <v>18100</v>
      </c>
      <c r="C25" s="157">
        <f>VLOOKUP(C19,Rørdatatabell!$B$325:$D$336,3,FALSE)*1000</f>
        <v>26500</v>
      </c>
      <c r="D25" s="157">
        <f>VLOOKUP(D19,Rørdatatabell!$B$325:$D$336,3,FALSE)*1000</f>
        <v>37000</v>
      </c>
      <c r="E25" s="157">
        <f>VLOOKUP(E19,Rørdatatabell!$B$325:$D$336,3,FALSE)*1000</f>
        <v>48500</v>
      </c>
      <c r="F25" s="157">
        <f>VLOOKUP(F19,Rørdatatabell!$B$325:$D$336,3,FALSE)*1000</f>
        <v>61500</v>
      </c>
      <c r="G25" s="157">
        <f>VLOOKUP(G19,Rørdatatabell!$B$325:$D$336,3,FALSE)*1000</f>
        <v>94500</v>
      </c>
      <c r="H25" s="148">
        <f>VLOOKUP(H19,Rørdatatabell!$B$325:$D$336,3,FALSE)*1000</f>
        <v>180000</v>
      </c>
      <c r="I25" s="144" t="s">
        <v>9</v>
      </c>
      <c r="J25" s="145">
        <f t="shared" ref="J25:P25" si="2">$D56*B25</f>
        <v>28859.438868109097</v>
      </c>
      <c r="K25" s="146">
        <f t="shared" si="2"/>
        <v>42252.769613529897</v>
      </c>
      <c r="L25" s="146">
        <f t="shared" si="2"/>
        <v>58994.433045305894</v>
      </c>
      <c r="M25" s="146">
        <f t="shared" si="2"/>
        <v>77330.54061344151</v>
      </c>
      <c r="N25" s="146">
        <f t="shared" si="2"/>
        <v>98058.314386116544</v>
      </c>
      <c r="O25" s="146">
        <f t="shared" si="2"/>
        <v>150674.97088598396</v>
      </c>
      <c r="P25" s="158">
        <f t="shared" si="2"/>
        <v>286999.94454473135</v>
      </c>
    </row>
    <row r="26" spans="1:20" ht="15" thickBot="1" x14ac:dyDescent="0.35">
      <c r="A26" s="149" t="s">
        <v>553</v>
      </c>
      <c r="B26" s="152">
        <v>16000</v>
      </c>
      <c r="C26" s="153">
        <v>28200</v>
      </c>
      <c r="D26" s="153">
        <v>42500</v>
      </c>
      <c r="E26" s="153">
        <v>60200</v>
      </c>
      <c r="F26" s="153">
        <v>75900</v>
      </c>
      <c r="G26" s="153">
        <v>123500</v>
      </c>
      <c r="H26" s="159">
        <v>254500</v>
      </c>
      <c r="I26" s="149" t="s">
        <v>553</v>
      </c>
      <c r="J26" s="150">
        <f t="shared" ref="J26:P26" si="3">$D57*B26</f>
        <v>82080</v>
      </c>
      <c r="K26" s="151">
        <f t="shared" si="3"/>
        <v>144666</v>
      </c>
      <c r="L26" s="151">
        <f t="shared" si="3"/>
        <v>218025</v>
      </c>
      <c r="M26" s="151">
        <f t="shared" si="3"/>
        <v>308826</v>
      </c>
      <c r="N26" s="151">
        <f t="shared" si="3"/>
        <v>389367</v>
      </c>
      <c r="O26" s="151">
        <f t="shared" si="3"/>
        <v>633555</v>
      </c>
      <c r="P26" s="154">
        <f t="shared" si="3"/>
        <v>1305585</v>
      </c>
    </row>
    <row r="27" spans="1:20" x14ac:dyDescent="0.3">
      <c r="K27" s="81"/>
      <c r="L27" s="81"/>
      <c r="M27" s="81"/>
      <c r="N27" s="81"/>
      <c r="O27" s="81"/>
      <c r="P27" s="81"/>
      <c r="Q27" s="81"/>
    </row>
    <row r="28" spans="1:20" ht="16.2" thickBot="1" x14ac:dyDescent="0.35">
      <c r="B28" s="24" t="s">
        <v>551</v>
      </c>
      <c r="K28" s="81"/>
      <c r="L28" s="81"/>
      <c r="M28" s="81"/>
      <c r="N28" s="81"/>
      <c r="O28" s="81"/>
      <c r="P28" s="81"/>
      <c r="Q28" s="81"/>
    </row>
    <row r="29" spans="1:20" x14ac:dyDescent="0.3">
      <c r="A29" s="137" t="s">
        <v>433</v>
      </c>
      <c r="B29" s="138"/>
      <c r="C29" s="155"/>
      <c r="D29" s="155"/>
      <c r="E29" s="155"/>
      <c r="F29" s="155"/>
      <c r="G29" s="155"/>
      <c r="H29" s="156"/>
      <c r="I29" s="137"/>
      <c r="J29" s="156"/>
      <c r="K29" s="137" t="s">
        <v>433</v>
      </c>
      <c r="L29" s="138"/>
      <c r="M29" s="155"/>
      <c r="N29" s="155"/>
      <c r="O29" s="155"/>
      <c r="P29" s="155"/>
      <c r="Q29" s="155"/>
      <c r="R29" s="155"/>
      <c r="S29" s="137"/>
      <c r="T29" s="156"/>
    </row>
    <row r="30" spans="1:20" x14ac:dyDescent="0.3">
      <c r="A30" s="139" t="s">
        <v>432</v>
      </c>
      <c r="B30" s="140">
        <v>100</v>
      </c>
      <c r="C30" s="141">
        <v>150</v>
      </c>
      <c r="D30" s="141">
        <v>200</v>
      </c>
      <c r="E30" s="141">
        <v>250</v>
      </c>
      <c r="F30" s="141">
        <v>300</v>
      </c>
      <c r="G30" s="141">
        <v>400</v>
      </c>
      <c r="H30" s="143">
        <v>600</v>
      </c>
      <c r="I30" s="139" t="s">
        <v>331</v>
      </c>
      <c r="J30" s="143" t="s">
        <v>434</v>
      </c>
      <c r="K30" s="139" t="s">
        <v>432</v>
      </c>
      <c r="L30" s="140">
        <v>100</v>
      </c>
      <c r="M30" s="141">
        <v>150</v>
      </c>
      <c r="N30" s="141">
        <v>200</v>
      </c>
      <c r="O30" s="141">
        <v>250</v>
      </c>
      <c r="P30" s="141">
        <v>300</v>
      </c>
      <c r="Q30" s="141">
        <v>400</v>
      </c>
      <c r="R30" s="141">
        <v>600</v>
      </c>
      <c r="S30" s="139" t="s">
        <v>331</v>
      </c>
      <c r="T30" s="143" t="s">
        <v>434</v>
      </c>
    </row>
    <row r="31" spans="1:20" x14ac:dyDescent="0.3">
      <c r="A31" s="144" t="s">
        <v>3</v>
      </c>
      <c r="B31" s="147">
        <f>'Transportsystemer - Ressursfane'!D49*B20</f>
        <v>0</v>
      </c>
      <c r="C31" s="157">
        <f>'Transportsystemer - Ressursfane'!E49*C20</f>
        <v>0</v>
      </c>
      <c r="D31" s="157">
        <f>'Transportsystemer - Ressursfane'!F49*D20</f>
        <v>0</v>
      </c>
      <c r="E31" s="157">
        <f>'Transportsystemer - Ressursfane'!G49*E20</f>
        <v>0</v>
      </c>
      <c r="F31" s="157">
        <f>'Transportsystemer - Ressursfane'!H49*F20</f>
        <v>48000000</v>
      </c>
      <c r="G31" s="157">
        <f>'Transportsystemer - Ressursfane'!I49*G20</f>
        <v>0</v>
      </c>
      <c r="H31" s="148">
        <f>'Transportsystemer - Ressursfane'!J49*H20</f>
        <v>200000000</v>
      </c>
      <c r="I31" s="144">
        <f>SUM(B31:H31)</f>
        <v>248000000</v>
      </c>
      <c r="J31" s="148">
        <f>I31*'Transportsystemer - Ressursfane'!K49/1000</f>
        <v>0</v>
      </c>
      <c r="K31" s="144" t="s">
        <v>3</v>
      </c>
      <c r="L31" s="147">
        <f>'Transportsystem Avløp - Input g'!D43*B20</f>
        <v>0</v>
      </c>
      <c r="M31" s="157">
        <f>'Transportsystem Avløp - Input g'!E43*C20</f>
        <v>0</v>
      </c>
      <c r="N31" s="157">
        <f>'Transportsystem Avløp - Input g'!F43*D20</f>
        <v>0</v>
      </c>
      <c r="O31" s="157">
        <f>'Transportsystem Avløp - Input g'!G43*E20</f>
        <v>0</v>
      </c>
      <c r="P31" s="157">
        <f>'Transportsystem Avløp - Input g'!H43*F20</f>
        <v>0</v>
      </c>
      <c r="Q31" s="157">
        <f>'Transportsystem Avløp - Input g'!I43*G20</f>
        <v>0</v>
      </c>
      <c r="R31" s="157">
        <f>'Transportsystem Avløp - Input g'!J43*H20</f>
        <v>0</v>
      </c>
      <c r="S31" s="144">
        <f>SUM(L31:R31)</f>
        <v>0</v>
      </c>
      <c r="T31" s="148">
        <f>S31*'Transportsystem Avløp - Input g'!K43/1000</f>
        <v>0</v>
      </c>
    </row>
    <row r="32" spans="1:20" x14ac:dyDescent="0.3">
      <c r="A32" s="144" t="s">
        <v>7</v>
      </c>
      <c r="B32" s="145">
        <f>'Transportsystemer - Ressursfane'!D50*B21</f>
        <v>0</v>
      </c>
      <c r="C32" s="146">
        <f>'Transportsystemer - Ressursfane'!E50*C21</f>
        <v>0</v>
      </c>
      <c r="D32" s="146">
        <f>'Transportsystemer - Ressursfane'!F50*D21</f>
        <v>0</v>
      </c>
      <c r="E32" s="146">
        <f>'Transportsystemer - Ressursfane'!G50*E21</f>
        <v>0</v>
      </c>
      <c r="F32" s="146">
        <f>'Transportsystemer - Ressursfane'!H50*F21</f>
        <v>23823864.153839998</v>
      </c>
      <c r="G32" s="146">
        <f>'Transportsystemer - Ressursfane'!I50*G21</f>
        <v>0</v>
      </c>
      <c r="H32" s="158">
        <f>'Transportsystemer - Ressursfane'!J50*H21</f>
        <v>95520000</v>
      </c>
      <c r="I32" s="160">
        <f t="shared" ref="I32:I36" si="4">SUM(B32:H32)</f>
        <v>119343864.15384001</v>
      </c>
      <c r="J32" s="148">
        <f>I32*'Transportsystemer - Ressursfane'!K50/1000</f>
        <v>0</v>
      </c>
      <c r="K32" s="144" t="s">
        <v>7</v>
      </c>
      <c r="L32" s="145">
        <f>'Transportsystem Avløp - Input g'!D44*B21</f>
        <v>0</v>
      </c>
      <c r="M32" s="146">
        <f>'Transportsystem Avløp - Input g'!E44*C21</f>
        <v>0</v>
      </c>
      <c r="N32" s="146">
        <f>'Transportsystem Avløp - Input g'!F44*D21</f>
        <v>0</v>
      </c>
      <c r="O32" s="146">
        <f>'Transportsystem Avløp - Input g'!G44*E21</f>
        <v>0</v>
      </c>
      <c r="P32" s="146">
        <f>'Transportsystem Avløp - Input g'!H44*F21</f>
        <v>0</v>
      </c>
      <c r="Q32" s="146">
        <f>'Transportsystem Avløp - Input g'!I44*G21</f>
        <v>0</v>
      </c>
      <c r="R32" s="146">
        <f>'Transportsystem Avløp - Input g'!J44*H21</f>
        <v>0</v>
      </c>
      <c r="S32" s="160">
        <f t="shared" ref="S32:S36" si="5">SUM(L32:R32)</f>
        <v>0</v>
      </c>
      <c r="T32" s="148">
        <f>S32*'Transportsystem Avløp - Input g'!K44/1000</f>
        <v>0</v>
      </c>
    </row>
    <row r="33" spans="1:20" x14ac:dyDescent="0.3">
      <c r="A33" s="144" t="s">
        <v>8</v>
      </c>
      <c r="B33" s="145">
        <f>'Transportsystemer - Ressursfane'!D51*B22</f>
        <v>0</v>
      </c>
      <c r="C33" s="146">
        <f>'Transportsystemer - Ressursfane'!E51*C22</f>
        <v>0</v>
      </c>
      <c r="D33" s="146">
        <f>'Transportsystemer - Ressursfane'!F51*D22</f>
        <v>0</v>
      </c>
      <c r="E33" s="146">
        <f>'Transportsystemer - Ressursfane'!G51*E22</f>
        <v>0</v>
      </c>
      <c r="F33" s="146">
        <f>'Transportsystemer - Ressursfane'!H51*F22</f>
        <v>42940799.999999993</v>
      </c>
      <c r="G33" s="146">
        <f>'Transportsystemer - Ressursfane'!I51*G22</f>
        <v>0</v>
      </c>
      <c r="H33" s="158">
        <f>'Transportsystemer - Ressursfane'!J51*H22</f>
        <v>208920000</v>
      </c>
      <c r="I33" s="160">
        <f t="shared" si="4"/>
        <v>251860800</v>
      </c>
      <c r="J33" s="148">
        <f>I33*'Transportsystemer - Ressursfane'!K51/1000</f>
        <v>0</v>
      </c>
      <c r="K33" s="144" t="s">
        <v>8</v>
      </c>
      <c r="L33" s="145">
        <f>'Transportsystem Avløp - Input g'!D45*B22</f>
        <v>0</v>
      </c>
      <c r="M33" s="146">
        <f>'Transportsystem Avløp - Input g'!E45*C22</f>
        <v>0</v>
      </c>
      <c r="N33" s="146">
        <f>'Transportsystem Avløp - Input g'!F45*D22</f>
        <v>0</v>
      </c>
      <c r="O33" s="146">
        <f>'Transportsystem Avløp - Input g'!G45*E22</f>
        <v>0</v>
      </c>
      <c r="P33" s="146">
        <f>'Transportsystem Avløp - Input g'!H45*F22</f>
        <v>0</v>
      </c>
      <c r="Q33" s="146">
        <f>'Transportsystem Avløp - Input g'!I45*G22</f>
        <v>0</v>
      </c>
      <c r="R33" s="146">
        <f>'Transportsystem Avløp - Input g'!J45*H22</f>
        <v>0</v>
      </c>
      <c r="S33" s="160">
        <f t="shared" si="5"/>
        <v>0</v>
      </c>
      <c r="T33" s="148">
        <f>S33*'Transportsystem Avløp - Input g'!K45/1000</f>
        <v>0</v>
      </c>
    </row>
    <row r="34" spans="1:20" x14ac:dyDescent="0.3">
      <c r="A34" s="144" t="s">
        <v>5</v>
      </c>
      <c r="B34" s="145">
        <f>'Transportsystemer - Ressursfane'!D52*B23</f>
        <v>0</v>
      </c>
      <c r="C34" s="146">
        <f>'Transportsystemer - Ressursfane'!E52*C23</f>
        <v>0</v>
      </c>
      <c r="D34" s="146">
        <f>'Transportsystemer - Ressursfane'!F52*D23</f>
        <v>0</v>
      </c>
      <c r="E34" s="146">
        <f>'Transportsystemer - Ressursfane'!G52*E23</f>
        <v>0</v>
      </c>
      <c r="F34" s="146">
        <f>'Transportsystemer - Ressursfane'!H52*F23</f>
        <v>0</v>
      </c>
      <c r="G34" s="146">
        <f>'Transportsystemer - Ressursfane'!I52*G23</f>
        <v>0</v>
      </c>
      <c r="H34" s="158">
        <f>'Transportsystemer - Ressursfane'!J52*H23</f>
        <v>0</v>
      </c>
      <c r="I34" s="160">
        <f t="shared" si="4"/>
        <v>0</v>
      </c>
      <c r="J34" s="148">
        <f>I34*'Transportsystemer - Ressursfane'!K52/1000</f>
        <v>0</v>
      </c>
      <c r="K34" s="144" t="s">
        <v>5</v>
      </c>
      <c r="L34" s="145">
        <f>'Transportsystem Avløp - Input g'!D46*B23</f>
        <v>0</v>
      </c>
      <c r="M34" s="146">
        <f>'Transportsystem Avløp - Input g'!E46*C23</f>
        <v>0</v>
      </c>
      <c r="N34" s="146">
        <f>'Transportsystem Avløp - Input g'!F46*D23</f>
        <v>0</v>
      </c>
      <c r="O34" s="146">
        <f>'Transportsystem Avløp - Input g'!G46*E23</f>
        <v>0</v>
      </c>
      <c r="P34" s="146">
        <f>'Transportsystem Avløp - Input g'!H46*F23</f>
        <v>0</v>
      </c>
      <c r="Q34" s="146">
        <f>'Transportsystem Avløp - Input g'!I46*G23</f>
        <v>0</v>
      </c>
      <c r="R34" s="146">
        <f>'Transportsystem Avløp - Input g'!J46*H23</f>
        <v>0</v>
      </c>
      <c r="S34" s="160">
        <f t="shared" si="5"/>
        <v>0</v>
      </c>
      <c r="T34" s="148">
        <f>S34*'Transportsystem Avløp - Input g'!K46/1000</f>
        <v>0</v>
      </c>
    </row>
    <row r="35" spans="1:20" x14ac:dyDescent="0.3">
      <c r="A35" s="144" t="s">
        <v>6</v>
      </c>
      <c r="B35" s="145">
        <f>'Transportsystemer - Ressursfane'!D55*B24</f>
        <v>0</v>
      </c>
      <c r="C35" s="146">
        <f>'Transportsystemer - Ressursfane'!E55*C24</f>
        <v>0</v>
      </c>
      <c r="D35" s="146">
        <f>'Transportsystemer - Ressursfane'!F55*D24</f>
        <v>0</v>
      </c>
      <c r="E35" s="146">
        <f>'Transportsystemer - Ressursfane'!G55*E24</f>
        <v>0</v>
      </c>
      <c r="F35" s="146">
        <f>'Transportsystemer - Ressursfane'!H55*F24</f>
        <v>0</v>
      </c>
      <c r="G35" s="146">
        <f>'Transportsystemer - Ressursfane'!I55*G24</f>
        <v>0</v>
      </c>
      <c r="H35" s="158">
        <f>'Transportsystemer - Ressursfane'!J55*H24</f>
        <v>0</v>
      </c>
      <c r="I35" s="160">
        <f t="shared" si="4"/>
        <v>0</v>
      </c>
      <c r="J35" s="148">
        <f>I35*'Transportsystemer - Ressursfane'!K55/1000</f>
        <v>0</v>
      </c>
      <c r="K35" s="144" t="s">
        <v>6</v>
      </c>
      <c r="L35" s="145">
        <f>'Transportsystem Avløp - Input g'!D47*B24</f>
        <v>0</v>
      </c>
      <c r="M35" s="146">
        <f>'Transportsystem Avløp - Input g'!E47*C24</f>
        <v>0</v>
      </c>
      <c r="N35" s="146">
        <f>'Transportsystem Avløp - Input g'!F47*D24</f>
        <v>0</v>
      </c>
      <c r="O35" s="146">
        <f>'Transportsystem Avløp - Input g'!G47*E24</f>
        <v>0</v>
      </c>
      <c r="P35" s="146">
        <f>'Transportsystem Avløp - Input g'!H47*F24</f>
        <v>0</v>
      </c>
      <c r="Q35" s="146">
        <f>'Transportsystem Avløp - Input g'!I47*G24</f>
        <v>0</v>
      </c>
      <c r="R35" s="146">
        <f>'Transportsystem Avløp - Input g'!J47*H24</f>
        <v>0</v>
      </c>
      <c r="S35" s="160">
        <f t="shared" si="5"/>
        <v>0</v>
      </c>
      <c r="T35" s="148">
        <f>S35*'Transportsystem Avløp - Input g'!K47/1000</f>
        <v>0</v>
      </c>
    </row>
    <row r="36" spans="1:20" x14ac:dyDescent="0.3">
      <c r="A36" s="144" t="s">
        <v>9</v>
      </c>
      <c r="B36" s="145">
        <f>'Transportsystemer - Ressursfane'!D56*B25</f>
        <v>0</v>
      </c>
      <c r="C36" s="146" t="e">
        <f>'Transportsystemer - Ressursfane'!E56*C25</f>
        <v>#VALUE!</v>
      </c>
      <c r="D36" s="146">
        <f>'Transportsystemer - Ressursfane'!F56*D25</f>
        <v>0</v>
      </c>
      <c r="E36" s="146" t="e">
        <f>'Transportsystemer - Ressursfane'!G56*E25</f>
        <v>#VALUE!</v>
      </c>
      <c r="F36" s="146">
        <f>'Transportsystemer - Ressursfane'!H56*F25</f>
        <v>0</v>
      </c>
      <c r="G36" s="146" t="e">
        <f>'Transportsystemer - Ressursfane'!I56*G25</f>
        <v>#VALUE!</v>
      </c>
      <c r="H36" s="158">
        <f>'Transportsystemer - Ressursfane'!J56*H25</f>
        <v>0</v>
      </c>
      <c r="I36" s="160" t="e">
        <f t="shared" si="4"/>
        <v>#VALUE!</v>
      </c>
      <c r="J36" s="148" t="e">
        <f>I36*'Transportsystemer - Ressursfane'!K56/1000</f>
        <v>#VALUE!</v>
      </c>
      <c r="K36" s="144" t="s">
        <v>9</v>
      </c>
      <c r="L36" s="145">
        <f>'Transportsystem Avløp - Input g'!D48*B25</f>
        <v>0</v>
      </c>
      <c r="M36" s="146">
        <f>'Transportsystem Avløp - Input g'!E48*C25</f>
        <v>0</v>
      </c>
      <c r="N36" s="146">
        <f>'Transportsystem Avløp - Input g'!F48*D25</f>
        <v>0</v>
      </c>
      <c r="O36" s="146">
        <f>'Transportsystem Avløp - Input g'!G48*E25</f>
        <v>0</v>
      </c>
      <c r="P36" s="146">
        <f>'Transportsystem Avløp - Input g'!H48*F25</f>
        <v>0</v>
      </c>
      <c r="Q36" s="146">
        <f>'Transportsystem Avløp - Input g'!I48*G25</f>
        <v>0</v>
      </c>
      <c r="R36" s="146">
        <f>'Transportsystem Avløp - Input g'!J48*H25</f>
        <v>0</v>
      </c>
      <c r="S36" s="160">
        <f t="shared" si="5"/>
        <v>0</v>
      </c>
      <c r="T36" s="148">
        <f>S36*'Transportsystem Avløp - Input g'!K48/1000</f>
        <v>0</v>
      </c>
    </row>
    <row r="37" spans="1:20" ht="15" thickBot="1" x14ac:dyDescent="0.35">
      <c r="A37" s="215" t="s">
        <v>553</v>
      </c>
      <c r="B37" s="151" t="e">
        <f>'Transportsystemer - Ressursfane'!D57*B26</f>
        <v>#VALUE!</v>
      </c>
      <c r="C37" s="151">
        <f>'Transportsystemer - Ressursfane'!E57*C26</f>
        <v>0</v>
      </c>
      <c r="D37" s="151" t="e">
        <f>'Transportsystemer - Ressursfane'!F57*D26</f>
        <v>#VALUE!</v>
      </c>
      <c r="E37" s="151">
        <f>'Transportsystemer - Ressursfane'!G57*E26</f>
        <v>0</v>
      </c>
      <c r="F37" s="151" t="e">
        <f>'Transportsystemer - Ressursfane'!H57*F26</f>
        <v>#VALUE!</v>
      </c>
      <c r="G37" s="151">
        <f>'Transportsystemer - Ressursfane'!I57*G26</f>
        <v>0</v>
      </c>
      <c r="H37" s="154" t="e">
        <f>'Transportsystemer - Ressursfane'!J57*H26</f>
        <v>#VALUE!</v>
      </c>
      <c r="I37" s="161" t="e">
        <f t="shared" ref="I37" si="6">SUM(B37:H37)</f>
        <v>#VALUE!</v>
      </c>
      <c r="J37" s="159" t="e">
        <f>I37*'Transportsystemer - Ressursfane'!K57/1000</f>
        <v>#VALUE!</v>
      </c>
      <c r="K37" s="215" t="s">
        <v>553</v>
      </c>
      <c r="L37" s="151">
        <f>'Transportsystem Avløp - Input g'!D49*B26</f>
        <v>0</v>
      </c>
      <c r="M37" s="151">
        <f>'Transportsystem Avløp - Input g'!E49*C26</f>
        <v>0</v>
      </c>
      <c r="N37" s="151">
        <f>'Transportsystem Avløp - Input g'!F49*D26</f>
        <v>0</v>
      </c>
      <c r="O37" s="151">
        <f>'Transportsystem Avløp - Input g'!G49*E26</f>
        <v>0</v>
      </c>
      <c r="P37" s="151">
        <f>'Transportsystem Avløp - Input g'!H49*F26</f>
        <v>0</v>
      </c>
      <c r="Q37" s="151">
        <f>'Transportsystem Avløp - Input g'!I49*G26</f>
        <v>0</v>
      </c>
      <c r="R37" s="151">
        <f>'Transportsystem Avløp - Input g'!J49*H26</f>
        <v>0</v>
      </c>
      <c r="S37" s="161">
        <f t="shared" ref="S37" si="7">SUM(L37:R37)</f>
        <v>0</v>
      </c>
      <c r="T37" s="159">
        <f>S37*'Transportsystem Avløp - Input g'!K49/1000</f>
        <v>0</v>
      </c>
    </row>
    <row r="39" spans="1:20" ht="15" thickBot="1" x14ac:dyDescent="0.35"/>
    <row r="40" spans="1:20" x14ac:dyDescent="0.3">
      <c r="A40" s="162" t="s">
        <v>441</v>
      </c>
      <c r="B40" s="163" t="s">
        <v>443</v>
      </c>
      <c r="C40" s="193" t="s">
        <v>366</v>
      </c>
      <c r="D40" s="164" t="s">
        <v>442</v>
      </c>
      <c r="E40" s="165" t="s">
        <v>444</v>
      </c>
    </row>
    <row r="41" spans="1:20" x14ac:dyDescent="0.3">
      <c r="A41" s="144" t="s">
        <v>31</v>
      </c>
      <c r="B41" s="147">
        <v>9.2399999999999996E-2</v>
      </c>
      <c r="C41" s="96"/>
      <c r="D41" s="166">
        <f>IF(C41&gt;0,C41,B41)</f>
        <v>9.2399999999999996E-2</v>
      </c>
      <c r="E41" s="148" t="s">
        <v>33</v>
      </c>
      <c r="J41" s="65"/>
    </row>
    <row r="42" spans="1:20" x14ac:dyDescent="0.3">
      <c r="A42" s="144" t="s">
        <v>32</v>
      </c>
      <c r="B42" s="147">
        <v>8.7999999999999995E-2</v>
      </c>
      <c r="C42" s="96"/>
      <c r="D42" s="166">
        <f t="shared" ref="D42:D48" si="8">IF(C42&gt;0,C42,B42)</f>
        <v>8.7999999999999995E-2</v>
      </c>
      <c r="E42" s="148" t="s">
        <v>33</v>
      </c>
      <c r="J42" s="65"/>
    </row>
    <row r="43" spans="1:20" x14ac:dyDescent="0.3">
      <c r="A43" s="144" t="s">
        <v>35</v>
      </c>
      <c r="B43" s="147">
        <v>27.3</v>
      </c>
      <c r="C43" s="96"/>
      <c r="D43" s="166">
        <f t="shared" si="8"/>
        <v>27.3</v>
      </c>
      <c r="E43" s="148" t="s">
        <v>36</v>
      </c>
    </row>
    <row r="44" spans="1:20" x14ac:dyDescent="0.3">
      <c r="A44" s="144" t="s">
        <v>343</v>
      </c>
      <c r="B44" s="147">
        <v>3.31</v>
      </c>
      <c r="C44" s="96"/>
      <c r="D44" s="166">
        <f t="shared" si="8"/>
        <v>3.31</v>
      </c>
      <c r="E44" s="148" t="s">
        <v>345</v>
      </c>
    </row>
    <row r="45" spans="1:20" x14ac:dyDescent="0.3">
      <c r="A45" s="144" t="s">
        <v>344</v>
      </c>
      <c r="B45" s="147">
        <f>6.5*0.2</f>
        <v>1.3</v>
      </c>
      <c r="C45" s="96"/>
      <c r="D45" s="166">
        <f t="shared" si="8"/>
        <v>1.3</v>
      </c>
      <c r="E45" s="148" t="s">
        <v>348</v>
      </c>
    </row>
    <row r="46" spans="1:20" x14ac:dyDescent="0.3">
      <c r="A46" s="144" t="s">
        <v>346</v>
      </c>
      <c r="B46" s="147">
        <v>7340</v>
      </c>
      <c r="C46" s="96"/>
      <c r="D46" s="166">
        <f t="shared" si="8"/>
        <v>7340</v>
      </c>
      <c r="E46" s="148" t="s">
        <v>349</v>
      </c>
    </row>
    <row r="47" spans="1:20" x14ac:dyDescent="0.3">
      <c r="A47" s="144" t="s">
        <v>435</v>
      </c>
      <c r="B47" s="147">
        <v>1.3</v>
      </c>
      <c r="C47" s="96"/>
      <c r="D47" s="166">
        <f t="shared" si="8"/>
        <v>1.3</v>
      </c>
      <c r="E47" s="148" t="s">
        <v>350</v>
      </c>
    </row>
    <row r="48" spans="1:20" ht="15" thickBot="1" x14ac:dyDescent="0.35">
      <c r="A48" s="149" t="s">
        <v>24</v>
      </c>
      <c r="B48" s="152">
        <v>0.16800000000000001</v>
      </c>
      <c r="C48" s="97"/>
      <c r="D48" s="167">
        <f t="shared" si="8"/>
        <v>0.16800000000000001</v>
      </c>
      <c r="E48" s="159" t="s">
        <v>351</v>
      </c>
    </row>
    <row r="49" spans="1:5" ht="15" thickBot="1" x14ac:dyDescent="0.35"/>
    <row r="50" spans="1:5" x14ac:dyDescent="0.3">
      <c r="A50" s="162"/>
      <c r="B50" s="163" t="s">
        <v>443</v>
      </c>
      <c r="C50" s="193" t="s">
        <v>366</v>
      </c>
      <c r="D50" s="164" t="s">
        <v>442</v>
      </c>
      <c r="E50" s="165" t="s">
        <v>444</v>
      </c>
    </row>
    <row r="51" spans="1:5" x14ac:dyDescent="0.3">
      <c r="A51" s="144" t="s">
        <v>3</v>
      </c>
      <c r="B51" s="205">
        <v>2.3703419911563515</v>
      </c>
      <c r="C51" s="96"/>
      <c r="D51" s="207">
        <f>IF(C51=0,B51,C51)</f>
        <v>2.3703419911563515</v>
      </c>
      <c r="E51" s="148" t="s">
        <v>30</v>
      </c>
    </row>
    <row r="52" spans="1:5" x14ac:dyDescent="0.3">
      <c r="A52" s="144" t="s">
        <v>7</v>
      </c>
      <c r="B52" s="205">
        <v>2.2955070191661884</v>
      </c>
      <c r="C52" s="96"/>
      <c r="D52" s="207">
        <f t="shared" ref="D52:D57" si="9">IF(C52=0,B52,C52)</f>
        <v>2.2955070191661884</v>
      </c>
      <c r="E52" s="148" t="s">
        <v>30</v>
      </c>
    </row>
    <row r="53" spans="1:5" x14ac:dyDescent="0.3">
      <c r="A53" s="144" t="s">
        <v>8</v>
      </c>
      <c r="B53" s="205">
        <v>2.3259264329154443</v>
      </c>
      <c r="C53" s="96"/>
      <c r="D53" s="207">
        <f t="shared" si="9"/>
        <v>2.3259264329154443</v>
      </c>
      <c r="E53" s="148" t="s">
        <v>30</v>
      </c>
    </row>
    <row r="54" spans="1:5" x14ac:dyDescent="0.3">
      <c r="A54" s="144" t="s">
        <v>5</v>
      </c>
      <c r="B54" s="205">
        <v>0.12104213553002466</v>
      </c>
      <c r="C54" s="96"/>
      <c r="D54" s="207">
        <f t="shared" si="9"/>
        <v>0.12104213553002466</v>
      </c>
      <c r="E54" s="148" t="s">
        <v>30</v>
      </c>
    </row>
    <row r="55" spans="1:5" x14ac:dyDescent="0.3">
      <c r="A55" s="144" t="s">
        <v>6</v>
      </c>
      <c r="B55" s="205">
        <v>6.3194525149950103</v>
      </c>
      <c r="C55" s="96"/>
      <c r="D55" s="207">
        <f t="shared" si="9"/>
        <v>6.3194525149950103</v>
      </c>
      <c r="E55" s="148" t="s">
        <v>30</v>
      </c>
    </row>
    <row r="56" spans="1:5" x14ac:dyDescent="0.3">
      <c r="A56" s="144" t="s">
        <v>9</v>
      </c>
      <c r="B56" s="205">
        <v>1.5944441363596187</v>
      </c>
      <c r="C56" s="96"/>
      <c r="D56" s="207">
        <f t="shared" si="9"/>
        <v>1.5944441363596187</v>
      </c>
      <c r="E56" s="148" t="s">
        <v>30</v>
      </c>
    </row>
    <row r="57" spans="1:5" ht="15" thickBot="1" x14ac:dyDescent="0.35">
      <c r="A57" s="149" t="s">
        <v>553</v>
      </c>
      <c r="B57" s="206">
        <v>5.13</v>
      </c>
      <c r="C57" s="97"/>
      <c r="D57" s="208">
        <f t="shared" si="9"/>
        <v>5.13</v>
      </c>
      <c r="E57" s="159" t="s">
        <v>30</v>
      </c>
    </row>
    <row r="60" spans="1:5" x14ac:dyDescent="0.3">
      <c r="A60" s="98" t="s">
        <v>375</v>
      </c>
      <c r="D60" s="98" t="s">
        <v>381</v>
      </c>
    </row>
  </sheetData>
  <mergeCells count="6">
    <mergeCell ref="B9:F9"/>
    <mergeCell ref="B2:F2"/>
    <mergeCell ref="H2:L2"/>
    <mergeCell ref="H9:L9"/>
    <mergeCell ref="M2:Q2"/>
    <mergeCell ref="M9:Q9"/>
  </mergeCells>
  <hyperlinks>
    <hyperlink ref="A60" location="Innledning!A1" display="Tilbake til forside" xr:uid="{00000000-0004-0000-0D00-000000000000}"/>
    <hyperlink ref="D60" location="Sammendrag!A1" display="Sammendrag" xr:uid="{00000000-0004-0000-0D00-000001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R62"/>
  <sheetViews>
    <sheetView zoomScale="85" zoomScaleNormal="85" workbookViewId="0">
      <selection activeCell="I10" sqref="I10"/>
    </sheetView>
  </sheetViews>
  <sheetFormatPr baseColWidth="10" defaultColWidth="11.5546875" defaultRowHeight="14.4" x14ac:dyDescent="0.3"/>
  <cols>
    <col min="1" max="1" width="23.5546875" style="301" customWidth="1"/>
    <col min="2" max="2" width="11.6640625" style="301" customWidth="1"/>
    <col min="3" max="3" width="11.5546875" style="301"/>
    <col min="4" max="4" width="13.33203125" style="301" customWidth="1"/>
    <col min="5" max="5" width="50.6640625" style="301" customWidth="1"/>
    <col min="6" max="6" width="16.88671875" style="301" customWidth="1"/>
    <col min="7" max="7" width="26.44140625" style="301" customWidth="1"/>
    <col min="8" max="8" width="16.6640625" style="301" customWidth="1"/>
    <col min="9" max="9" width="15.44140625" style="301" customWidth="1"/>
    <col min="10" max="11" width="12.5546875" style="301" customWidth="1"/>
    <col min="12" max="12" width="20.5546875" style="301" bestFit="1" customWidth="1"/>
    <col min="13" max="13" width="18.109375" style="301" bestFit="1" customWidth="1"/>
    <col min="14" max="16" width="12.5546875" style="301" customWidth="1"/>
    <col min="17" max="18" width="13.5546875" style="301" customWidth="1"/>
    <col min="19" max="19" width="17.6640625" style="301" customWidth="1"/>
    <col min="20" max="20" width="23.33203125" style="301" bestFit="1" customWidth="1"/>
    <col min="21" max="21" width="20" style="301" bestFit="1" customWidth="1"/>
    <col min="22" max="22" width="13.88671875" style="301" bestFit="1" customWidth="1"/>
    <col min="23" max="23" width="22.33203125" style="301" bestFit="1" customWidth="1"/>
    <col min="24" max="24" width="12.5546875" style="301" customWidth="1"/>
    <col min="25" max="16384" width="11.5546875" style="301"/>
  </cols>
  <sheetData>
    <row r="1" spans="1:44" ht="15" thickBot="1" x14ac:dyDescent="0.35">
      <c r="H1" s="313"/>
      <c r="I1" s="313"/>
      <c r="J1" s="313"/>
      <c r="K1" s="313"/>
      <c r="L1" s="313"/>
      <c r="M1" s="313"/>
      <c r="N1" s="313"/>
      <c r="O1" s="313"/>
      <c r="P1" s="313"/>
      <c r="Q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3"/>
      <c r="AR1" s="313"/>
    </row>
    <row r="2" spans="1:44" s="458" customFormat="1" ht="15" customHeight="1" thickBot="1" x14ac:dyDescent="0.35">
      <c r="A2" s="381"/>
      <c r="C2" s="1102" t="s">
        <v>932</v>
      </c>
      <c r="D2" s="1103"/>
      <c r="E2" s="1103"/>
      <c r="F2" s="1103"/>
      <c r="G2" s="1104"/>
      <c r="H2" s="313"/>
      <c r="I2" s="313"/>
      <c r="J2" s="313"/>
      <c r="K2" s="313"/>
      <c r="L2" s="313"/>
      <c r="M2" s="313"/>
      <c r="N2" s="313"/>
      <c r="O2" s="313"/>
      <c r="P2" s="313"/>
      <c r="Q2" s="313"/>
      <c r="R2" s="997"/>
      <c r="S2" s="313"/>
      <c r="T2" s="313"/>
      <c r="U2" s="313"/>
      <c r="V2" s="313"/>
      <c r="W2" s="313"/>
      <c r="X2" s="313"/>
      <c r="Y2" s="313"/>
      <c r="Z2" s="313"/>
      <c r="AA2" s="313"/>
      <c r="AB2" s="313"/>
      <c r="AC2" s="313"/>
      <c r="AD2" s="313"/>
      <c r="AE2" s="313"/>
      <c r="AF2" s="313"/>
      <c r="AG2" s="313"/>
      <c r="AH2" s="313"/>
      <c r="AI2" s="313"/>
      <c r="AJ2" s="313"/>
      <c r="AK2" s="313"/>
      <c r="AL2" s="313"/>
      <c r="AM2" s="313"/>
      <c r="AN2" s="313"/>
      <c r="AO2" s="313"/>
      <c r="AP2" s="313"/>
      <c r="AQ2" s="313"/>
      <c r="AR2" s="313"/>
    </row>
    <row r="3" spans="1:44" s="313" customFormat="1" ht="15" customHeight="1" thickBot="1" x14ac:dyDescent="0.35">
      <c r="A3" s="373"/>
      <c r="C3" s="1105"/>
      <c r="D3" s="1106"/>
      <c r="E3" s="1106"/>
      <c r="F3" s="1106"/>
      <c r="G3" s="1107"/>
      <c r="H3" s="1108" t="s">
        <v>827</v>
      </c>
      <c r="I3" s="1109"/>
      <c r="J3" s="1109"/>
      <c r="K3" s="1109"/>
      <c r="L3" s="1096" t="s">
        <v>495</v>
      </c>
      <c r="M3" s="1097"/>
      <c r="N3" s="1097"/>
      <c r="O3" s="1097"/>
      <c r="P3" s="1097"/>
      <c r="Q3" s="1098"/>
      <c r="R3" s="1043"/>
      <c r="S3" s="1096" t="s">
        <v>624</v>
      </c>
      <c r="T3" s="1097"/>
      <c r="U3" s="1097"/>
      <c r="V3" s="1097"/>
      <c r="W3" s="1097"/>
      <c r="X3" s="1098"/>
    </row>
    <row r="4" spans="1:44" s="318" customFormat="1" ht="79.5" customHeight="1" thickBot="1" x14ac:dyDescent="0.35">
      <c r="A4" s="533"/>
      <c r="C4" s="1099" t="s">
        <v>1028</v>
      </c>
      <c r="D4" s="1100"/>
      <c r="E4" s="1100"/>
      <c r="F4" s="1100"/>
      <c r="G4" s="1101"/>
      <c r="H4" s="1018" t="s">
        <v>772</v>
      </c>
      <c r="I4" s="1018" t="s">
        <v>773</v>
      </c>
      <c r="J4" s="1018" t="s">
        <v>774</v>
      </c>
      <c r="K4" s="1019" t="s">
        <v>775</v>
      </c>
      <c r="L4" s="1018" t="s">
        <v>772</v>
      </c>
      <c r="M4" s="1018" t="s">
        <v>776</v>
      </c>
      <c r="N4" s="1018" t="s">
        <v>774</v>
      </c>
      <c r="O4" s="1019" t="s">
        <v>775</v>
      </c>
      <c r="P4" s="534" t="s">
        <v>331</v>
      </c>
      <c r="Q4" s="534" t="s">
        <v>373</v>
      </c>
      <c r="R4" s="469"/>
      <c r="S4" s="1096" t="s">
        <v>625</v>
      </c>
      <c r="T4" s="1097"/>
      <c r="U4" s="1097"/>
      <c r="V4" s="1097"/>
      <c r="W4" s="1097"/>
      <c r="X4" s="1098"/>
    </row>
    <row r="5" spans="1:44" s="313" customFormat="1" ht="15" thickBot="1" x14ac:dyDescent="0.35">
      <c r="A5" s="666" t="s">
        <v>372</v>
      </c>
      <c r="B5" s="313" t="s">
        <v>454</v>
      </c>
      <c r="C5" s="1110" t="s">
        <v>1002</v>
      </c>
      <c r="D5" s="1111"/>
      <c r="E5" s="1111"/>
      <c r="F5" s="1111"/>
      <c r="G5" s="1112"/>
      <c r="H5" s="1113" t="s">
        <v>1003</v>
      </c>
      <c r="I5" s="1114"/>
      <c r="J5" s="1114"/>
      <c r="K5" s="1115"/>
      <c r="L5" s="1113" t="s">
        <v>1003</v>
      </c>
      <c r="M5" s="1114"/>
      <c r="N5" s="1114"/>
      <c r="O5" s="1115"/>
      <c r="P5" s="1016"/>
      <c r="Q5" s="1016"/>
      <c r="R5" s="314"/>
      <c r="S5" s="1011"/>
      <c r="T5" s="1004"/>
      <c r="U5" s="1004"/>
      <c r="V5" s="1004"/>
      <c r="W5" s="1004"/>
      <c r="X5" s="1005"/>
    </row>
    <row r="6" spans="1:44" x14ac:dyDescent="0.3">
      <c r="A6" s="867">
        <f>'Enkelt klimaregnskap - faktorer'!G7</f>
        <v>2.862976003245276E-2</v>
      </c>
      <c r="B6" s="459">
        <v>120</v>
      </c>
      <c r="C6" s="535" t="s">
        <v>486</v>
      </c>
      <c r="D6" s="536"/>
      <c r="E6" s="536" t="s">
        <v>459</v>
      </c>
      <c r="F6" s="536"/>
      <c r="G6" s="537" t="s">
        <v>777</v>
      </c>
      <c r="H6" s="1012"/>
      <c r="I6" s="1013"/>
      <c r="J6" s="1013"/>
      <c r="K6" s="291"/>
      <c r="L6" s="1014">
        <f>(('Input KOSTRA regnskapsdata'!H6-H20)*'Enkelt klimaregnskap - faktorer'!$G7)*1000</f>
        <v>0</v>
      </c>
      <c r="M6" s="1015">
        <f>(('Input KOSTRA regnskapsdata'!I6-I20)*'Enkelt klimaregnskap - faktorer'!$G7)*1000</f>
        <v>0</v>
      </c>
      <c r="N6" s="1015">
        <f>(('Input KOSTRA regnskapsdata'!J6-J20)*'Enkelt klimaregnskap - faktorer'!$G7)*1000</f>
        <v>0</v>
      </c>
      <c r="O6" s="824">
        <f>(('Input KOSTRA regnskapsdata'!K6-K20)*'Enkelt klimaregnskap - faktorer'!$G7)*1000</f>
        <v>0</v>
      </c>
      <c r="P6" s="824">
        <f t="shared" ref="P6:P18" si="0">SUM(L6:O6)</f>
        <v>0</v>
      </c>
      <c r="Q6" s="825">
        <f>P6</f>
        <v>0</v>
      </c>
      <c r="R6" s="538"/>
      <c r="S6" s="378"/>
      <c r="T6" s="307" t="s">
        <v>505</v>
      </c>
      <c r="U6" s="307" t="s">
        <v>506</v>
      </c>
      <c r="V6" s="307" t="s">
        <v>453</v>
      </c>
      <c r="W6" s="307" t="s">
        <v>800</v>
      </c>
      <c r="X6" s="539" t="s">
        <v>331</v>
      </c>
    </row>
    <row r="7" spans="1:44" x14ac:dyDescent="0.3">
      <c r="A7" s="868">
        <f>'Enkelt klimaregnskap - faktorer'!G11</f>
        <v>8.8701257402810735E-2</v>
      </c>
      <c r="B7" s="316">
        <v>160</v>
      </c>
      <c r="C7" s="540" t="s">
        <v>26</v>
      </c>
      <c r="D7" s="541"/>
      <c r="E7" s="541" t="s">
        <v>463</v>
      </c>
      <c r="F7" s="541"/>
      <c r="G7" s="542" t="s">
        <v>777</v>
      </c>
      <c r="H7" s="490"/>
      <c r="I7" s="498"/>
      <c r="J7" s="498"/>
      <c r="K7" s="292"/>
      <c r="L7" s="826">
        <f>('Input KOSTRA regnskapsdata'!H7*'Enkelt klimaregnskap - faktorer'!$G11)*1000</f>
        <v>0</v>
      </c>
      <c r="M7" s="827">
        <f>('Input KOSTRA regnskapsdata'!I7*'Enkelt klimaregnskap - faktorer'!$G11)*1000</f>
        <v>0</v>
      </c>
      <c r="N7" s="827">
        <f>('Input KOSTRA regnskapsdata'!J7*'Enkelt klimaregnskap - faktorer'!$G11)*1000</f>
        <v>0</v>
      </c>
      <c r="O7" s="828">
        <f>('Input KOSTRA regnskapsdata'!K7*'Enkelt klimaregnskap - faktorer'!$G11)*1000</f>
        <v>0</v>
      </c>
      <c r="P7" s="828">
        <f t="shared" si="0"/>
        <v>0</v>
      </c>
      <c r="Q7" s="829">
        <f t="shared" ref="Q7:Q18" si="1">P7</f>
        <v>0</v>
      </c>
      <c r="R7" s="538"/>
      <c r="S7" s="543" t="s">
        <v>486</v>
      </c>
      <c r="T7" s="855">
        <f>L6</f>
        <v>0</v>
      </c>
      <c r="U7" s="855">
        <f>M6</f>
        <v>0</v>
      </c>
      <c r="V7" s="855">
        <f>N6</f>
        <v>0</v>
      </c>
      <c r="W7" s="855">
        <f>O6</f>
        <v>0</v>
      </c>
      <c r="X7" s="856">
        <f>P6</f>
        <v>0</v>
      </c>
    </row>
    <row r="8" spans="1:44" x14ac:dyDescent="0.3">
      <c r="A8" s="868">
        <f>'Enkelt klimaregnskap - faktorer'!G13</f>
        <v>3.3156156530825306E-2</v>
      </c>
      <c r="B8" s="316">
        <v>170</v>
      </c>
      <c r="C8" s="544"/>
      <c r="D8" s="545"/>
      <c r="E8" s="546" t="s">
        <v>465</v>
      </c>
      <c r="F8" s="546"/>
      <c r="G8" s="547" t="s">
        <v>777</v>
      </c>
      <c r="H8" s="491"/>
      <c r="I8" s="499"/>
      <c r="J8" s="499"/>
      <c r="K8" s="293"/>
      <c r="L8" s="830">
        <f>(('Input KOSTRA regnskapsdata'!H8-H21)*'Enkelt klimaregnskap - faktorer'!$G13)*1000</f>
        <v>0</v>
      </c>
      <c r="M8" s="831">
        <f>(('Input KOSTRA regnskapsdata'!I8)*'Enkelt klimaregnskap - faktorer'!$G13)*1000</f>
        <v>0</v>
      </c>
      <c r="N8" s="831">
        <f>(('Input KOSTRA regnskapsdata'!J8-J21)*'Enkelt klimaregnskap - faktorer'!$G13)*1000</f>
        <v>0</v>
      </c>
      <c r="O8" s="832">
        <f>(('Input KOSTRA regnskapsdata'!K8)*'Enkelt klimaregnskap - faktorer'!$G13)*1000</f>
        <v>0</v>
      </c>
      <c r="P8" s="832">
        <f t="shared" si="0"/>
        <v>0</v>
      </c>
      <c r="Q8" s="833">
        <f t="shared" si="1"/>
        <v>0</v>
      </c>
      <c r="R8" s="538"/>
      <c r="S8" s="548" t="s">
        <v>26</v>
      </c>
      <c r="T8" s="857">
        <f>SUM(L7:L8)</f>
        <v>0</v>
      </c>
      <c r="U8" s="857">
        <f>SUM(M7:M8)</f>
        <v>0</v>
      </c>
      <c r="V8" s="857">
        <f>SUM(N7:N8)</f>
        <v>0</v>
      </c>
      <c r="W8" s="857">
        <f>SUM(O7:O8)</f>
        <v>0</v>
      </c>
      <c r="X8" s="858">
        <f>SUM(P7:P8)</f>
        <v>0</v>
      </c>
    </row>
    <row r="9" spans="1:44" x14ac:dyDescent="0.3">
      <c r="A9" s="868">
        <f>'Enkelt klimaregnskap - faktorer'!G14</f>
        <v>9.6495300000000006E-2</v>
      </c>
      <c r="B9" s="316">
        <v>180</v>
      </c>
      <c r="C9" s="549" t="s">
        <v>307</v>
      </c>
      <c r="D9" s="550"/>
      <c r="E9" s="550" t="s">
        <v>487</v>
      </c>
      <c r="F9" s="550"/>
      <c r="G9" s="551" t="s">
        <v>777</v>
      </c>
      <c r="H9" s="492"/>
      <c r="I9" s="500"/>
      <c r="J9" s="500"/>
      <c r="K9" s="294"/>
      <c r="L9" s="834">
        <f>(('Input KOSTRA regnskapsdata'!H9-'Vannbehandling - Input'!B5)*'Enkelt klimaregnskap - faktorer'!$G14)*1000</f>
        <v>0</v>
      </c>
      <c r="M9" s="835">
        <f>(('Input KOSTRA regnskapsdata'!I9-I22)*'Enkelt klimaregnskap - faktorer'!$G14)*1000</f>
        <v>0</v>
      </c>
      <c r="N9" s="835">
        <f>(('Input KOSTRA regnskapsdata'!J9-'Avløpsbehandling - Input'!B7)*'Enkelt klimaregnskap - faktorer'!$G14)*1000</f>
        <v>0</v>
      </c>
      <c r="O9" s="836">
        <f>(('Input KOSTRA regnskapsdata'!K9-K22)*'Enkelt klimaregnskap - faktorer'!$G14)*1000</f>
        <v>0</v>
      </c>
      <c r="P9" s="836">
        <f t="shared" si="0"/>
        <v>0</v>
      </c>
      <c r="Q9" s="829">
        <f t="shared" si="1"/>
        <v>0</v>
      </c>
      <c r="R9" s="538"/>
      <c r="S9" s="552" t="s">
        <v>307</v>
      </c>
      <c r="T9" s="859">
        <f>SUM(L9:L13)</f>
        <v>0</v>
      </c>
      <c r="U9" s="859">
        <f>SUM(M9:M13)</f>
        <v>0</v>
      </c>
      <c r="V9" s="859">
        <f>SUM(N9:N13)</f>
        <v>0</v>
      </c>
      <c r="W9" s="859">
        <f>SUM(O9:O13)</f>
        <v>0</v>
      </c>
      <c r="X9" s="860">
        <f>SUM(P9:P13)</f>
        <v>0</v>
      </c>
    </row>
    <row r="10" spans="1:44" x14ac:dyDescent="0.3">
      <c r="A10" s="868">
        <f>'Enkelt klimaregnskap - faktorer'!G15</f>
        <v>0.48648599999999997</v>
      </c>
      <c r="B10" s="316">
        <v>181</v>
      </c>
      <c r="C10" s="553"/>
      <c r="D10" s="554"/>
      <c r="E10" s="554" t="s">
        <v>488</v>
      </c>
      <c r="F10" s="554"/>
      <c r="G10" s="555" t="s">
        <v>777</v>
      </c>
      <c r="H10" s="493"/>
      <c r="I10" s="501"/>
      <c r="J10" s="501"/>
      <c r="K10" s="295"/>
      <c r="L10" s="837">
        <f>(('Input KOSTRA regnskapsdata'!H10-'Vannbehandling - Input'!B6)*'Enkelt klimaregnskap - faktorer'!$G15)*1000</f>
        <v>0</v>
      </c>
      <c r="M10" s="838">
        <f>('Input KOSTRA regnskapsdata'!I10*'Enkelt klimaregnskap - faktorer'!$G15)*1000</f>
        <v>0</v>
      </c>
      <c r="N10" s="838">
        <f>(('Input KOSTRA regnskapsdata'!J10-'Avløpsbehandling - Input'!B8)*'Enkelt klimaregnskap - faktorer'!$G15)*1000</f>
        <v>0</v>
      </c>
      <c r="O10" s="839">
        <f>('Input KOSTRA regnskapsdata'!K10*'Enkelt klimaregnskap - faktorer'!$G15)*1000</f>
        <v>0</v>
      </c>
      <c r="P10" s="839">
        <f t="shared" si="0"/>
        <v>0</v>
      </c>
      <c r="Q10" s="825">
        <f t="shared" si="1"/>
        <v>0</v>
      </c>
      <c r="R10" s="538"/>
      <c r="S10" s="556" t="s">
        <v>969</v>
      </c>
      <c r="T10" s="861">
        <f>SUM(L17:L18)</f>
        <v>0</v>
      </c>
      <c r="U10" s="861">
        <f>SUM(M17:M18)</f>
        <v>0</v>
      </c>
      <c r="V10" s="861">
        <f>SUM(N17:N18)</f>
        <v>0</v>
      </c>
      <c r="W10" s="861">
        <f>SUM(O17:O18)</f>
        <v>0</v>
      </c>
      <c r="X10" s="862">
        <f>SUM(P17:P18)</f>
        <v>0</v>
      </c>
    </row>
    <row r="11" spans="1:44" x14ac:dyDescent="0.3">
      <c r="A11" s="868">
        <f>'Enkelt klimaregnskap - faktorer'!G16</f>
        <v>0.35136000000000001</v>
      </c>
      <c r="B11" s="316">
        <v>182</v>
      </c>
      <c r="C11" s="553"/>
      <c r="D11" s="554"/>
      <c r="E11" s="554" t="s">
        <v>489</v>
      </c>
      <c r="F11" s="554"/>
      <c r="G11" s="555" t="s">
        <v>777</v>
      </c>
      <c r="H11" s="493"/>
      <c r="I11" s="501"/>
      <c r="J11" s="501"/>
      <c r="K11" s="295"/>
      <c r="L11" s="837">
        <f>(('Input KOSTRA regnskapsdata'!H11-'Vannbehandling - Input'!B9)*'Enkelt klimaregnskap - faktorer'!$G16)*1000</f>
        <v>0</v>
      </c>
      <c r="M11" s="838">
        <f>('Input KOSTRA regnskapsdata'!I11*'Enkelt klimaregnskap - faktorer'!$G16)*1000</f>
        <v>0</v>
      </c>
      <c r="N11" s="838">
        <f>(('Input KOSTRA regnskapsdata'!J11-'Avløpsbehandling - Input'!B11)*'Enkelt klimaregnskap - faktorer'!$G16)*1000</f>
        <v>0</v>
      </c>
      <c r="O11" s="839">
        <f>('Input KOSTRA regnskapsdata'!K11*'Enkelt klimaregnskap - faktorer'!$G16)*1000</f>
        <v>0</v>
      </c>
      <c r="P11" s="839">
        <f t="shared" si="0"/>
        <v>0</v>
      </c>
      <c r="Q11" s="825">
        <f t="shared" si="1"/>
        <v>0</v>
      </c>
      <c r="R11" s="538"/>
      <c r="S11" s="557" t="s">
        <v>968</v>
      </c>
      <c r="T11" s="863">
        <f>SUM(L14:L16)</f>
        <v>0</v>
      </c>
      <c r="U11" s="863">
        <f>SUM(M14:M16)</f>
        <v>0</v>
      </c>
      <c r="V11" s="863">
        <f>SUM(N14:N16)</f>
        <v>0</v>
      </c>
      <c r="W11" s="863">
        <f>SUM(O14:O16)</f>
        <v>0</v>
      </c>
      <c r="X11" s="864">
        <f>SUM(P14:P16)</f>
        <v>0</v>
      </c>
    </row>
    <row r="12" spans="1:44" ht="15" thickBot="1" x14ac:dyDescent="0.35">
      <c r="A12" s="868">
        <f>'Enkelt klimaregnskap - faktorer'!G17</f>
        <v>0.21820799999999999</v>
      </c>
      <c r="B12" s="316">
        <v>183</v>
      </c>
      <c r="C12" s="553"/>
      <c r="D12" s="554"/>
      <c r="E12" s="554" t="s">
        <v>490</v>
      </c>
      <c r="F12" s="554"/>
      <c r="G12" s="555" t="s">
        <v>777</v>
      </c>
      <c r="H12" s="493"/>
      <c r="I12" s="501"/>
      <c r="J12" s="501"/>
      <c r="K12" s="295"/>
      <c r="L12" s="837">
        <f>(('Input KOSTRA regnskapsdata'!H12-'Vannbehandling - Input'!B7-'Vannbehandling - Input'!B8)*'Enkelt klimaregnskap - faktorer'!$G17)*1000</f>
        <v>0</v>
      </c>
      <c r="M12" s="838">
        <f>('Input KOSTRA regnskapsdata'!I12*'Enkelt klimaregnskap - faktorer'!$G17)*1000</f>
        <v>0</v>
      </c>
      <c r="N12" s="838">
        <f>(('Input KOSTRA regnskapsdata'!J12-'Avløpsbehandling - Input'!B9-'Avløpsbehandling - Input'!B10)*'Enkelt klimaregnskap - faktorer'!$G17)*1000</f>
        <v>0</v>
      </c>
      <c r="O12" s="839">
        <f>('Input KOSTRA regnskapsdata'!K12*'Enkelt klimaregnskap - faktorer'!$G17)*1000</f>
        <v>0</v>
      </c>
      <c r="P12" s="839">
        <f t="shared" si="0"/>
        <v>0</v>
      </c>
      <c r="Q12" s="825">
        <f t="shared" si="1"/>
        <v>0</v>
      </c>
      <c r="R12" s="538"/>
      <c r="S12" s="558" t="s">
        <v>331</v>
      </c>
      <c r="T12" s="865">
        <f>SUM(T7:T11)</f>
        <v>0</v>
      </c>
      <c r="U12" s="865">
        <f t="shared" ref="U12:X12" si="2">SUM(U7:U11)</f>
        <v>0</v>
      </c>
      <c r="V12" s="865">
        <f t="shared" si="2"/>
        <v>0</v>
      </c>
      <c r="W12" s="865">
        <f t="shared" si="2"/>
        <v>0</v>
      </c>
      <c r="X12" s="866">
        <f t="shared" si="2"/>
        <v>0</v>
      </c>
    </row>
    <row r="13" spans="1:44" x14ac:dyDescent="0.3">
      <c r="A13" s="868">
        <f>'Enkelt klimaregnskap - faktorer'!G18</f>
        <v>7.6799999999999993E-2</v>
      </c>
      <c r="B13" s="316">
        <v>184</v>
      </c>
      <c r="C13" s="553"/>
      <c r="D13" s="554"/>
      <c r="E13" s="559" t="s">
        <v>491</v>
      </c>
      <c r="F13" s="559"/>
      <c r="G13" s="560" t="s">
        <v>777</v>
      </c>
      <c r="H13" s="494"/>
      <c r="I13" s="502"/>
      <c r="J13" s="502"/>
      <c r="K13" s="296"/>
      <c r="L13" s="840">
        <f>(('Input KOSTRA regnskapsdata'!H13-'Vannbehandling - Input'!B10)*'Enkelt klimaregnskap - faktorer'!$G18)*1000</f>
        <v>0</v>
      </c>
      <c r="M13" s="841">
        <f>('Input KOSTRA regnskapsdata'!I13*'Enkelt klimaregnskap - faktorer'!$G18)*1000</f>
        <v>0</v>
      </c>
      <c r="N13" s="841">
        <f>(('Input KOSTRA regnskapsdata'!J13-'Avløpsbehandling - Input'!B12)*'Enkelt klimaregnskap - faktorer'!$G18)*1000</f>
        <v>0</v>
      </c>
      <c r="O13" s="842">
        <f>('Input KOSTRA regnskapsdata'!K13*'Enkelt klimaregnskap - faktorer'!$G18)*1000</f>
        <v>0</v>
      </c>
      <c r="P13" s="842">
        <f t="shared" si="0"/>
        <v>0</v>
      </c>
      <c r="Q13" s="833">
        <f t="shared" si="1"/>
        <v>0</v>
      </c>
      <c r="R13" s="538"/>
    </row>
    <row r="14" spans="1:44" x14ac:dyDescent="0.3">
      <c r="A14" s="868">
        <f>'Enkelt klimaregnskap - faktorer'!G18</f>
        <v>7.6799999999999993E-2</v>
      </c>
      <c r="B14" s="316">
        <v>200</v>
      </c>
      <c r="C14" s="561" t="s">
        <v>968</v>
      </c>
      <c r="D14" s="562"/>
      <c r="E14" s="562" t="s">
        <v>324</v>
      </c>
      <c r="F14" s="562"/>
      <c r="G14" s="563" t="s">
        <v>777</v>
      </c>
      <c r="H14" s="495"/>
      <c r="I14" s="503"/>
      <c r="J14" s="503"/>
      <c r="K14" s="298"/>
      <c r="L14" s="843">
        <f>('Input KOSTRA regnskapsdata'!H14*'Enkelt klimaregnskap - faktorer'!$G22)*1000</f>
        <v>0</v>
      </c>
      <c r="M14" s="844">
        <f>('Input KOSTRA regnskapsdata'!I14*'Enkelt klimaregnskap - faktorer'!$G22)*1000</f>
        <v>0</v>
      </c>
      <c r="N14" s="844">
        <f>('Input KOSTRA regnskapsdata'!J14*'Enkelt klimaregnskap - faktorer'!$G22)*1000</f>
        <v>0</v>
      </c>
      <c r="O14" s="845">
        <f>('Input KOSTRA regnskapsdata'!K14*'Enkelt klimaregnskap - faktorer'!$G22)*1000</f>
        <v>0</v>
      </c>
      <c r="P14" s="845">
        <f t="shared" si="0"/>
        <v>0</v>
      </c>
      <c r="Q14" s="829">
        <f t="shared" si="1"/>
        <v>0</v>
      </c>
      <c r="R14" s="538"/>
    </row>
    <row r="15" spans="1:44" x14ac:dyDescent="0.3">
      <c r="A15" s="868">
        <f>'Enkelt klimaregnskap - faktorer'!G20</f>
        <v>1.571045773870321E-2</v>
      </c>
      <c r="B15" s="316">
        <v>210</v>
      </c>
      <c r="C15" s="564"/>
      <c r="D15" s="565"/>
      <c r="E15" s="565" t="s">
        <v>470</v>
      </c>
      <c r="F15" s="565"/>
      <c r="G15" s="566" t="s">
        <v>777</v>
      </c>
      <c r="H15" s="496"/>
      <c r="I15" s="504"/>
      <c r="J15" s="504"/>
      <c r="K15" s="299"/>
      <c r="L15" s="846">
        <f>(('Input KOSTRA regnskapsdata'!H15)*'Enkelt klimaregnskap - faktorer'!$G24)*1000</f>
        <v>0</v>
      </c>
      <c r="M15" s="847">
        <f>('Input KOSTRA regnskapsdata'!I15*'Enkelt klimaregnskap - faktorer'!$G24)*1000</f>
        <v>0</v>
      </c>
      <c r="N15" s="847">
        <f>('Input KOSTRA regnskapsdata'!J15*'Enkelt klimaregnskap - faktorer'!$G24)*1000</f>
        <v>0</v>
      </c>
      <c r="O15" s="848">
        <f>('Input KOSTRA regnskapsdata'!K15*'Enkelt klimaregnskap - faktorer'!$G24)*1000</f>
        <v>0</v>
      </c>
      <c r="P15" s="848">
        <f t="shared" si="0"/>
        <v>0</v>
      </c>
      <c r="Q15" s="825">
        <f t="shared" si="1"/>
        <v>0</v>
      </c>
      <c r="R15" s="538"/>
    </row>
    <row r="16" spans="1:44" x14ac:dyDescent="0.3">
      <c r="A16" s="868">
        <f>'Enkelt klimaregnskap - faktorer'!G21</f>
        <v>9.8698375032851421E-3</v>
      </c>
      <c r="B16" s="316">
        <v>220</v>
      </c>
      <c r="C16" s="564"/>
      <c r="D16" s="565"/>
      <c r="E16" s="565" t="s">
        <v>471</v>
      </c>
      <c r="F16" s="565"/>
      <c r="G16" s="566" t="s">
        <v>777</v>
      </c>
      <c r="H16" s="496"/>
      <c r="I16" s="504"/>
      <c r="J16" s="504"/>
      <c r="K16" s="299"/>
      <c r="L16" s="846">
        <f>('Input KOSTRA regnskapsdata'!H16*'Enkelt klimaregnskap - faktorer'!$G25)*1000</f>
        <v>0</v>
      </c>
      <c r="M16" s="847">
        <f>('Input KOSTRA regnskapsdata'!I16*'Enkelt klimaregnskap - faktorer'!$G25)*1000</f>
        <v>0</v>
      </c>
      <c r="N16" s="847">
        <f>('Input KOSTRA regnskapsdata'!J16*'Enkelt klimaregnskap - faktorer'!$G25)*1000</f>
        <v>0</v>
      </c>
      <c r="O16" s="848">
        <f>('Input KOSTRA regnskapsdata'!K16*'Enkelt klimaregnskap - faktorer'!$G25)*1000</f>
        <v>0</v>
      </c>
      <c r="P16" s="848">
        <f t="shared" si="0"/>
        <v>0</v>
      </c>
      <c r="Q16" s="825">
        <f t="shared" si="1"/>
        <v>0</v>
      </c>
      <c r="R16" s="538"/>
    </row>
    <row r="17" spans="1:18" x14ac:dyDescent="0.3">
      <c r="A17" s="868">
        <f>'Enkelt klimaregnskap - faktorer'!G22</f>
        <v>1.8117068197161076E-2</v>
      </c>
      <c r="B17" s="316">
        <v>230</v>
      </c>
      <c r="C17" s="567" t="s">
        <v>969</v>
      </c>
      <c r="D17" s="568"/>
      <c r="E17" s="568" t="s">
        <v>472</v>
      </c>
      <c r="F17" s="568"/>
      <c r="G17" s="569" t="s">
        <v>777</v>
      </c>
      <c r="H17" s="497"/>
      <c r="I17" s="505"/>
      <c r="J17" s="505"/>
      <c r="K17" s="297"/>
      <c r="L17" s="849">
        <f>(('Input KOSTRA regnskapsdata'!H17)*'Enkelt klimaregnskap - faktorer'!$G26)*1000</f>
        <v>0</v>
      </c>
      <c r="M17" s="850">
        <f>(('Input KOSTRA regnskapsdata'!I17)*'Enkelt klimaregnskap - faktorer'!$G26)*1000</f>
        <v>0</v>
      </c>
      <c r="N17" s="850">
        <f>(('Input KOSTRA regnskapsdata'!J17)*'Enkelt klimaregnskap - faktorer'!$G26)*1000</f>
        <v>0</v>
      </c>
      <c r="O17" s="851">
        <f>(('Input KOSTRA regnskapsdata'!K17)*'Enkelt klimaregnskap - faktorer'!$G26)*1000</f>
        <v>0</v>
      </c>
      <c r="P17" s="851">
        <f t="shared" si="0"/>
        <v>0</v>
      </c>
      <c r="Q17" s="829">
        <f t="shared" si="1"/>
        <v>0</v>
      </c>
      <c r="R17" s="538"/>
    </row>
    <row r="18" spans="1:18" ht="15" thickBot="1" x14ac:dyDescent="0.35">
      <c r="A18" s="868">
        <f>'Enkelt klimaregnskap - faktorer'!G24</f>
        <v>1.4655081833350776E-2</v>
      </c>
      <c r="B18" s="316">
        <v>250</v>
      </c>
      <c r="C18" s="570"/>
      <c r="D18" s="571"/>
      <c r="E18" s="571" t="s">
        <v>474</v>
      </c>
      <c r="F18" s="571"/>
      <c r="G18" s="572" t="s">
        <v>777</v>
      </c>
      <c r="H18" s="515"/>
      <c r="I18" s="506"/>
      <c r="J18" s="506"/>
      <c r="K18" s="300"/>
      <c r="L18" s="852">
        <f>('Input KOSTRA regnskapsdata'!H18*'Enkelt klimaregnskap - faktorer'!$G28)*1000</f>
        <v>0</v>
      </c>
      <c r="M18" s="853">
        <f>('Input KOSTRA regnskapsdata'!I18*'Enkelt klimaregnskap - faktorer'!$G28)*1000</f>
        <v>0</v>
      </c>
      <c r="N18" s="853">
        <f>('Input KOSTRA regnskapsdata'!J18*'Enkelt klimaregnskap - faktorer'!$G28)*1000</f>
        <v>0</v>
      </c>
      <c r="O18" s="854">
        <f>('Input KOSTRA regnskapsdata'!K18*'Enkelt klimaregnskap - faktorer'!$G28)*1000</f>
        <v>0</v>
      </c>
      <c r="P18" s="854">
        <f t="shared" si="0"/>
        <v>0</v>
      </c>
      <c r="Q18" s="825">
        <f t="shared" si="1"/>
        <v>0</v>
      </c>
      <c r="R18" s="538"/>
    </row>
    <row r="19" spans="1:18" x14ac:dyDescent="0.3">
      <c r="A19" s="381"/>
      <c r="B19" s="458"/>
      <c r="C19" s="573" t="s">
        <v>926</v>
      </c>
      <c r="D19" s="574"/>
      <c r="E19" s="574"/>
      <c r="F19" s="574"/>
      <c r="G19" s="575"/>
      <c r="H19" s="576"/>
      <c r="I19" s="577"/>
      <c r="J19" s="577"/>
      <c r="K19" s="578"/>
      <c r="L19" s="579"/>
      <c r="M19" s="580"/>
      <c r="N19" s="580"/>
      <c r="O19" s="580"/>
      <c r="P19" s="580"/>
      <c r="Q19" s="581"/>
      <c r="R19" s="538"/>
    </row>
    <row r="20" spans="1:18" x14ac:dyDescent="0.3">
      <c r="A20" s="373"/>
      <c r="B20" s="313"/>
      <c r="C20" s="582"/>
      <c r="D20" s="583"/>
      <c r="E20" s="583" t="s">
        <v>600</v>
      </c>
      <c r="F20" s="583"/>
      <c r="G20" s="584" t="s">
        <v>777</v>
      </c>
      <c r="H20" s="869">
        <f>'Vannbehandling - Input'!F104</f>
        <v>0</v>
      </c>
      <c r="I20" s="585"/>
      <c r="J20" s="870">
        <f>'Avløpsbehandling - Input'!F106</f>
        <v>0</v>
      </c>
      <c r="K20" s="586"/>
      <c r="L20" s="587"/>
      <c r="M20" s="588"/>
      <c r="N20" s="588"/>
      <c r="O20" s="588"/>
      <c r="P20" s="588"/>
      <c r="Q20" s="589"/>
      <c r="R20" s="538"/>
    </row>
    <row r="21" spans="1:18" x14ac:dyDescent="0.3">
      <c r="A21" s="373"/>
      <c r="B21" s="313"/>
      <c r="C21" s="582"/>
      <c r="D21" s="583"/>
      <c r="E21" s="583" t="s">
        <v>925</v>
      </c>
      <c r="F21" s="583"/>
      <c r="G21" s="584" t="s">
        <v>777</v>
      </c>
      <c r="H21" s="869">
        <f>'Vannbehandling - Input'!F105</f>
        <v>0</v>
      </c>
      <c r="I21" s="585"/>
      <c r="J21" s="870">
        <f>'Avløpsbehandling - Input'!F107</f>
        <v>0</v>
      </c>
      <c r="K21" s="586"/>
      <c r="L21" s="587"/>
      <c r="M21" s="588"/>
      <c r="N21" s="588"/>
      <c r="O21" s="588"/>
      <c r="P21" s="588"/>
      <c r="Q21" s="589"/>
      <c r="R21" s="538"/>
    </row>
    <row r="22" spans="1:18" ht="15" thickBot="1" x14ac:dyDescent="0.35">
      <c r="A22" s="373"/>
      <c r="B22" s="313"/>
      <c r="C22" s="590"/>
      <c r="D22" s="591"/>
      <c r="E22" s="591" t="s">
        <v>646</v>
      </c>
      <c r="F22" s="591"/>
      <c r="G22" s="592" t="s">
        <v>777</v>
      </c>
      <c r="H22" s="871">
        <f>'Vannbehandling - Input'!F106</f>
        <v>0</v>
      </c>
      <c r="I22" s="872">
        <f>H26</f>
        <v>0</v>
      </c>
      <c r="J22" s="872">
        <f>'Avløpsbehandling - Input'!F108</f>
        <v>0</v>
      </c>
      <c r="K22" s="873">
        <f>J26</f>
        <v>0</v>
      </c>
      <c r="L22" s="593"/>
      <c r="M22" s="594"/>
      <c r="N22" s="594"/>
      <c r="O22" s="594"/>
      <c r="P22" s="594"/>
      <c r="Q22" s="595"/>
      <c r="R22" s="538"/>
    </row>
    <row r="23" spans="1:18" ht="15" thickBot="1" x14ac:dyDescent="0.35">
      <c r="A23" s="313"/>
      <c r="B23" s="313"/>
      <c r="C23" s="652"/>
      <c r="D23" s="313"/>
      <c r="E23" s="313"/>
      <c r="F23" s="313"/>
      <c r="G23" s="1041"/>
      <c r="H23" s="1062"/>
      <c r="I23" s="705"/>
      <c r="J23" s="705"/>
      <c r="K23" s="705"/>
      <c r="L23" s="1032"/>
      <c r="M23" s="538"/>
      <c r="N23" s="538"/>
      <c r="O23" s="538"/>
      <c r="P23" s="538"/>
      <c r="Q23" s="538"/>
      <c r="R23" s="538"/>
    </row>
    <row r="24" spans="1:18" x14ac:dyDescent="0.3">
      <c r="C24" s="1116" t="s">
        <v>1015</v>
      </c>
      <c r="D24" s="1117"/>
      <c r="E24" s="1118"/>
      <c r="F24" s="1020"/>
      <c r="G24" s="1021"/>
      <c r="H24" s="1092" t="s">
        <v>506</v>
      </c>
      <c r="I24" s="1093"/>
      <c r="J24" s="1094" t="s">
        <v>800</v>
      </c>
      <c r="K24" s="1095"/>
      <c r="L24" s="1046" t="s">
        <v>506</v>
      </c>
      <c r="M24" s="1047" t="s">
        <v>800</v>
      </c>
      <c r="N24" s="417"/>
      <c r="O24" s="417"/>
      <c r="R24" s="538"/>
    </row>
    <row r="25" spans="1:18" x14ac:dyDescent="0.3">
      <c r="C25" s="1119"/>
      <c r="D25" s="1120"/>
      <c r="E25" s="1121"/>
      <c r="F25" s="1022"/>
      <c r="G25" s="1023"/>
      <c r="H25" s="1048" t="s">
        <v>777</v>
      </c>
      <c r="I25" s="1049" t="s">
        <v>279</v>
      </c>
      <c r="J25" s="1050" t="s">
        <v>777</v>
      </c>
      <c r="K25" s="1051" t="s">
        <v>279</v>
      </c>
      <c r="L25" s="1052" t="s">
        <v>687</v>
      </c>
      <c r="M25" s="1053" t="s">
        <v>687</v>
      </c>
      <c r="N25" s="417"/>
      <c r="O25" s="417"/>
      <c r="Q25" s="313"/>
      <c r="R25" s="538"/>
    </row>
    <row r="26" spans="1:18" ht="15" thickBot="1" x14ac:dyDescent="0.35">
      <c r="C26" s="1122"/>
      <c r="D26" s="1123"/>
      <c r="E26" s="1124"/>
      <c r="F26" s="1024" t="s">
        <v>1016</v>
      </c>
      <c r="G26" s="330"/>
      <c r="H26" s="1029">
        <v>0</v>
      </c>
      <c r="I26" s="1030">
        <v>0</v>
      </c>
      <c r="J26" s="1031">
        <v>0</v>
      </c>
      <c r="K26" s="1030">
        <v>0</v>
      </c>
      <c r="L26" s="1044">
        <f>I26*'Vann og Avløp-utslippsfaktorer'!D3</f>
        <v>0</v>
      </c>
      <c r="M26" s="1045">
        <f>'Vann og Avløp-utslippsfaktorer'!D3*K26</f>
        <v>0</v>
      </c>
      <c r="N26" s="417"/>
      <c r="O26" s="417"/>
      <c r="R26" s="538"/>
    </row>
    <row r="27" spans="1:18" ht="15" thickBot="1" x14ac:dyDescent="0.35">
      <c r="C27" s="1001"/>
      <c r="D27" s="1001"/>
      <c r="E27" s="1001"/>
      <c r="F27" s="314"/>
      <c r="G27" s="313"/>
      <c r="H27" s="538"/>
      <c r="I27" s="538"/>
      <c r="J27" s="538"/>
      <c r="K27" s="538"/>
      <c r="L27" s="538"/>
      <c r="M27" s="538"/>
      <c r="N27" s="417"/>
      <c r="O27" s="417"/>
      <c r="R27" s="538"/>
    </row>
    <row r="28" spans="1:18" ht="15" customHeight="1" x14ac:dyDescent="0.3">
      <c r="C28" s="1125" t="s">
        <v>1009</v>
      </c>
      <c r="D28" s="1126"/>
      <c r="E28" s="1025" t="s">
        <v>1008</v>
      </c>
      <c r="F28" s="1054">
        <v>1.94</v>
      </c>
      <c r="G28" s="1021" t="s">
        <v>1001</v>
      </c>
      <c r="N28" s="417"/>
      <c r="O28" s="417"/>
      <c r="R28" s="538"/>
    </row>
    <row r="29" spans="1:18" x14ac:dyDescent="0.3">
      <c r="C29" s="1127"/>
      <c r="D29" s="1128"/>
      <c r="E29" s="1026" t="s">
        <v>999</v>
      </c>
      <c r="F29" s="1055">
        <v>0.29499999999999998</v>
      </c>
      <c r="G29" s="1027" t="s">
        <v>1001</v>
      </c>
      <c r="H29" s="417"/>
      <c r="I29" s="417"/>
      <c r="J29" s="417"/>
      <c r="K29" s="417"/>
      <c r="L29" s="417"/>
      <c r="M29" s="417"/>
      <c r="N29" s="417"/>
      <c r="O29" s="417"/>
      <c r="R29" s="538"/>
    </row>
    <row r="30" spans="1:18" x14ac:dyDescent="0.3">
      <c r="C30" s="1127"/>
      <c r="D30" s="1128"/>
      <c r="E30" s="1026" t="s">
        <v>1000</v>
      </c>
      <c r="F30" s="1055">
        <v>0.438</v>
      </c>
      <c r="G30" s="1027" t="s">
        <v>1001</v>
      </c>
      <c r="H30" s="417"/>
      <c r="I30" s="417"/>
      <c r="J30" s="417"/>
      <c r="K30" s="417"/>
      <c r="L30" s="417"/>
      <c r="M30" s="417"/>
      <c r="N30" s="417"/>
      <c r="O30" s="417"/>
      <c r="R30" s="538"/>
    </row>
    <row r="31" spans="1:18" ht="15" thickBot="1" x14ac:dyDescent="0.35">
      <c r="C31" s="1129"/>
      <c r="D31" s="1130"/>
      <c r="E31" s="1028" t="s">
        <v>336</v>
      </c>
      <c r="F31" s="1057">
        <f>SUM(F28:F30)</f>
        <v>2.673</v>
      </c>
      <c r="G31" s="330" t="s">
        <v>1001</v>
      </c>
      <c r="H31" s="417"/>
      <c r="I31" s="417"/>
      <c r="J31" s="417"/>
      <c r="K31" s="417"/>
      <c r="L31" s="417"/>
      <c r="M31" s="417"/>
      <c r="N31" s="417"/>
      <c r="O31" s="417"/>
      <c r="R31" s="538"/>
    </row>
    <row r="32" spans="1:18" ht="15" thickBot="1" x14ac:dyDescent="0.35">
      <c r="B32" s="313"/>
      <c r="C32" s="313"/>
      <c r="D32" s="313"/>
      <c r="E32" s="822"/>
      <c r="F32" s="313"/>
      <c r="G32" s="313"/>
      <c r="H32" s="417"/>
      <c r="I32" s="417"/>
      <c r="J32" s="417"/>
      <c r="K32" s="417"/>
      <c r="L32" s="417"/>
      <c r="M32" s="417"/>
      <c r="N32" s="417"/>
      <c r="O32" s="417"/>
      <c r="R32" s="538"/>
    </row>
    <row r="33" spans="1:24" ht="15" thickBot="1" x14ac:dyDescent="0.35">
      <c r="C33" s="1110" t="s">
        <v>1010</v>
      </c>
      <c r="D33" s="1111"/>
      <c r="E33" s="1111"/>
      <c r="F33" s="1111"/>
      <c r="G33" s="1112"/>
      <c r="H33" s="1113" t="s">
        <v>1013</v>
      </c>
      <c r="I33" s="1114"/>
      <c r="J33" s="1114"/>
      <c r="K33" s="1114"/>
      <c r="L33" s="1113" t="s">
        <v>1012</v>
      </c>
      <c r="M33" s="1114"/>
      <c r="N33" s="1114"/>
      <c r="O33" s="1114"/>
      <c r="P33" s="1042" t="s">
        <v>331</v>
      </c>
      <c r="Q33" s="314"/>
      <c r="R33" s="538"/>
    </row>
    <row r="34" spans="1:24" ht="30.75" customHeight="1" thickBot="1" x14ac:dyDescent="0.35">
      <c r="C34" s="1110"/>
      <c r="D34" s="1111"/>
      <c r="E34" s="1111"/>
      <c r="F34" s="1111"/>
      <c r="G34" s="1112"/>
      <c r="H34" s="1018" t="s">
        <v>772</v>
      </c>
      <c r="I34" s="1018" t="s">
        <v>773</v>
      </c>
      <c r="J34" s="1018" t="s">
        <v>774</v>
      </c>
      <c r="K34" s="1018" t="s">
        <v>775</v>
      </c>
      <c r="L34" s="1017" t="s">
        <v>772</v>
      </c>
      <c r="M34" s="1018" t="s">
        <v>773</v>
      </c>
      <c r="N34" s="1018" t="s">
        <v>774</v>
      </c>
      <c r="O34" s="1018" t="s">
        <v>775</v>
      </c>
      <c r="P34" s="1037"/>
      <c r="Q34" s="314"/>
      <c r="R34" s="538"/>
    </row>
    <row r="35" spans="1:24" ht="15" thickBot="1" x14ac:dyDescent="0.35">
      <c r="C35" s="1034"/>
      <c r="D35" s="1035"/>
      <c r="E35" s="1036" t="s">
        <v>1011</v>
      </c>
      <c r="F35" s="1035"/>
      <c r="G35" s="1040" t="s">
        <v>777</v>
      </c>
      <c r="H35" s="1038"/>
      <c r="I35" s="1039"/>
      <c r="J35" s="1039"/>
      <c r="K35" s="1033"/>
      <c r="L35" s="1058">
        <f>'Enkelt klimaregnskap - faktorer'!$E$26*H35*1000</f>
        <v>0</v>
      </c>
      <c r="M35" s="1059">
        <f>'Enkelt klimaregnskap - faktorer'!$E$26*I35*1000</f>
        <v>0</v>
      </c>
      <c r="N35" s="1059">
        <f>'Enkelt klimaregnskap - faktorer'!$E$26*J35*1000</f>
        <v>0</v>
      </c>
      <c r="O35" s="1060">
        <f>'Enkelt klimaregnskap - faktorer'!$E$26*K35*1000</f>
        <v>0</v>
      </c>
      <c r="P35" s="1061">
        <f>SUM(L35:O35)</f>
        <v>0</v>
      </c>
      <c r="Q35" s="313"/>
      <c r="R35" s="538"/>
    </row>
    <row r="36" spans="1:24" x14ac:dyDescent="0.3">
      <c r="H36" s="417"/>
      <c r="I36" s="417"/>
      <c r="J36" s="417"/>
      <c r="K36" s="417"/>
      <c r="L36" s="417"/>
      <c r="M36" s="417"/>
      <c r="N36" s="417"/>
      <c r="O36" s="417"/>
      <c r="R36" s="538"/>
    </row>
    <row r="37" spans="1:24" x14ac:dyDescent="0.3">
      <c r="H37" s="417"/>
      <c r="I37" s="417"/>
      <c r="J37" s="417"/>
      <c r="K37" s="417"/>
      <c r="L37" s="417"/>
      <c r="M37" s="417"/>
      <c r="N37" s="417"/>
      <c r="O37" s="417"/>
      <c r="R37" s="538"/>
    </row>
    <row r="38" spans="1:24" x14ac:dyDescent="0.3">
      <c r="A38" s="388" t="s">
        <v>375</v>
      </c>
      <c r="B38" s="388"/>
      <c r="E38" s="388" t="s">
        <v>381</v>
      </c>
      <c r="H38" s="417"/>
      <c r="R38" s="538"/>
    </row>
    <row r="39" spans="1:24" x14ac:dyDescent="0.3">
      <c r="R39" s="538"/>
    </row>
    <row r="40" spans="1:24" x14ac:dyDescent="0.3">
      <c r="R40" s="538"/>
    </row>
    <row r="41" spans="1:24" x14ac:dyDescent="0.3">
      <c r="R41" s="538"/>
    </row>
    <row r="42" spans="1:24" x14ac:dyDescent="0.3">
      <c r="R42" s="538"/>
    </row>
    <row r="43" spans="1:24" x14ac:dyDescent="0.3">
      <c r="R43" s="538"/>
    </row>
    <row r="44" spans="1:24" x14ac:dyDescent="0.3">
      <c r="R44" s="538"/>
    </row>
    <row r="45" spans="1:24" x14ac:dyDescent="0.3">
      <c r="R45" s="538"/>
    </row>
    <row r="46" spans="1:24" x14ac:dyDescent="0.3">
      <c r="R46" s="538"/>
    </row>
    <row r="47" spans="1:24" x14ac:dyDescent="0.3">
      <c r="R47" s="538"/>
    </row>
    <row r="48" spans="1:24" x14ac:dyDescent="0.3">
      <c r="R48" s="538"/>
      <c r="S48" s="333"/>
      <c r="T48" s="333"/>
      <c r="U48" s="333"/>
      <c r="V48" s="333"/>
      <c r="W48" s="333"/>
      <c r="X48" s="333"/>
    </row>
    <row r="49" spans="1:24" x14ac:dyDescent="0.3">
      <c r="R49" s="538"/>
      <c r="S49" s="333"/>
      <c r="T49" s="333"/>
      <c r="U49" s="333"/>
      <c r="V49" s="333"/>
      <c r="W49" s="333"/>
      <c r="X49" s="333"/>
    </row>
    <row r="50" spans="1:24" s="333" customFormat="1" x14ac:dyDescent="0.3">
      <c r="A50" s="301"/>
      <c r="B50" s="301"/>
      <c r="C50" s="301"/>
      <c r="D50" s="301"/>
      <c r="E50" s="301"/>
      <c r="F50" s="301"/>
      <c r="G50" s="301"/>
      <c r="H50" s="301"/>
      <c r="I50" s="301"/>
      <c r="J50" s="301"/>
      <c r="K50" s="301"/>
      <c r="L50" s="301"/>
      <c r="M50" s="301"/>
      <c r="N50" s="301"/>
      <c r="O50" s="301"/>
      <c r="P50" s="301"/>
      <c r="Q50" s="301"/>
      <c r="R50" s="597"/>
    </row>
    <row r="51" spans="1:24" s="333" customFormat="1" x14ac:dyDescent="0.3">
      <c r="A51" s="301"/>
      <c r="B51" s="301"/>
      <c r="C51" s="301"/>
      <c r="D51" s="301"/>
      <c r="E51" s="301"/>
      <c r="F51" s="301"/>
      <c r="G51" s="301"/>
      <c r="H51" s="301"/>
      <c r="I51" s="301"/>
      <c r="J51" s="301"/>
      <c r="K51" s="301"/>
      <c r="L51" s="301"/>
      <c r="M51" s="301"/>
      <c r="N51" s="301"/>
      <c r="O51" s="301"/>
      <c r="P51" s="301"/>
      <c r="Q51" s="301"/>
      <c r="R51" s="597"/>
    </row>
    <row r="52" spans="1:24" s="333" customFormat="1" x14ac:dyDescent="0.3">
      <c r="A52" s="301"/>
      <c r="B52" s="301"/>
      <c r="C52" s="301"/>
      <c r="D52" s="301"/>
      <c r="E52" s="301"/>
      <c r="F52" s="301"/>
      <c r="G52" s="301"/>
      <c r="H52" s="301"/>
      <c r="I52" s="301"/>
      <c r="J52" s="301"/>
      <c r="K52" s="301"/>
      <c r="L52" s="301"/>
      <c r="M52" s="301"/>
      <c r="N52" s="301"/>
      <c r="O52" s="301"/>
      <c r="P52" s="301"/>
      <c r="Q52" s="301"/>
      <c r="R52" s="597"/>
    </row>
    <row r="53" spans="1:24" s="333" customFormat="1" x14ac:dyDescent="0.3">
      <c r="A53" s="301"/>
      <c r="B53" s="301"/>
      <c r="C53" s="301"/>
      <c r="D53" s="301"/>
      <c r="E53" s="301"/>
      <c r="F53" s="301"/>
      <c r="G53" s="301"/>
      <c r="H53" s="301"/>
      <c r="I53" s="301"/>
      <c r="J53" s="301"/>
      <c r="K53" s="301"/>
      <c r="L53" s="301"/>
      <c r="M53" s="301"/>
      <c r="N53" s="301"/>
      <c r="O53" s="301"/>
      <c r="P53" s="301"/>
      <c r="Q53" s="301"/>
      <c r="R53" s="597"/>
    </row>
    <row r="54" spans="1:24" s="333" customFormat="1" x14ac:dyDescent="0.3">
      <c r="A54" s="301"/>
      <c r="B54" s="301"/>
      <c r="C54" s="301"/>
      <c r="D54" s="301"/>
      <c r="E54" s="301"/>
      <c r="F54" s="301"/>
      <c r="G54" s="301"/>
      <c r="H54" s="301"/>
      <c r="I54" s="301"/>
      <c r="J54" s="301"/>
      <c r="K54" s="301"/>
      <c r="L54" s="301"/>
      <c r="M54" s="301"/>
      <c r="N54" s="301"/>
      <c r="O54" s="301"/>
      <c r="P54" s="301"/>
      <c r="Q54" s="301"/>
      <c r="R54" s="597"/>
    </row>
    <row r="55" spans="1:24" s="333" customFormat="1" x14ac:dyDescent="0.3">
      <c r="A55" s="301"/>
      <c r="B55" s="301"/>
      <c r="C55" s="301"/>
      <c r="D55" s="301"/>
      <c r="E55" s="301"/>
      <c r="F55" s="301"/>
      <c r="G55" s="301"/>
      <c r="H55" s="301"/>
      <c r="I55" s="301"/>
      <c r="J55" s="301"/>
      <c r="K55" s="301"/>
      <c r="L55" s="301"/>
      <c r="M55" s="301"/>
      <c r="N55" s="301"/>
      <c r="O55" s="301"/>
      <c r="P55" s="301"/>
      <c r="Q55" s="301"/>
      <c r="R55" s="597"/>
    </row>
    <row r="56" spans="1:24" s="333" customFormat="1" x14ac:dyDescent="0.3">
      <c r="A56" s="301"/>
      <c r="B56" s="301"/>
      <c r="C56" s="301"/>
      <c r="D56" s="301"/>
      <c r="E56" s="301"/>
      <c r="F56" s="301"/>
      <c r="G56" s="301"/>
      <c r="H56" s="301"/>
      <c r="I56" s="301"/>
      <c r="J56" s="301"/>
      <c r="K56" s="301"/>
      <c r="L56" s="301"/>
      <c r="M56" s="301"/>
      <c r="N56" s="301"/>
      <c r="O56" s="301"/>
      <c r="P56" s="301"/>
      <c r="Q56" s="301"/>
      <c r="R56" s="597"/>
      <c r="S56" s="301"/>
      <c r="T56" s="301"/>
      <c r="U56" s="301"/>
      <c r="V56" s="301"/>
      <c r="W56" s="301"/>
      <c r="X56" s="301"/>
    </row>
    <row r="57" spans="1:24" s="333" customFormat="1" x14ac:dyDescent="0.3">
      <c r="A57" s="301"/>
      <c r="B57" s="301"/>
      <c r="C57" s="301"/>
      <c r="D57" s="301"/>
      <c r="E57" s="301"/>
      <c r="F57" s="301"/>
      <c r="G57" s="301"/>
      <c r="H57" s="301"/>
      <c r="I57" s="301"/>
      <c r="J57" s="301"/>
      <c r="K57" s="301"/>
      <c r="L57" s="301"/>
      <c r="M57" s="301"/>
      <c r="N57" s="301"/>
      <c r="O57" s="301"/>
      <c r="P57" s="301"/>
      <c r="Q57" s="301"/>
      <c r="R57" s="597"/>
      <c r="S57" s="301"/>
      <c r="T57" s="301"/>
      <c r="U57" s="301"/>
      <c r="V57" s="301"/>
      <c r="W57" s="301"/>
      <c r="X57" s="301"/>
    </row>
    <row r="58" spans="1:24" x14ac:dyDescent="0.3">
      <c r="R58" s="538"/>
    </row>
    <row r="59" spans="1:24" x14ac:dyDescent="0.3">
      <c r="R59" s="538"/>
    </row>
    <row r="60" spans="1:24" x14ac:dyDescent="0.3">
      <c r="R60" s="538"/>
      <c r="S60" s="417"/>
      <c r="T60" s="417"/>
    </row>
    <row r="61" spans="1:24" x14ac:dyDescent="0.3">
      <c r="R61" s="538"/>
    </row>
    <row r="62" spans="1:24" x14ac:dyDescent="0.3">
      <c r="R62" s="538"/>
      <c r="T62" s="388" t="s">
        <v>377</v>
      </c>
    </row>
  </sheetData>
  <sheetProtection algorithmName="SHA-512" hashValue="4zJAZLpp4FmEQYAKshwXJZfinnZUbOqYJu/y07x+ePqR7UDGK2bf+CLSQOM13SWBMsHf800WDWIp6of+GFVmyg==" saltValue="+c2HKhITSs8HrISiRHOcKQ==" spinCount="100000" sheet="1" objects="1" scenarios="1" formatColumns="0" formatRows="0"/>
  <mergeCells count="17">
    <mergeCell ref="C34:G34"/>
    <mergeCell ref="C33:G33"/>
    <mergeCell ref="H33:K33"/>
    <mergeCell ref="L33:O33"/>
    <mergeCell ref="C28:D31"/>
    <mergeCell ref="H24:I24"/>
    <mergeCell ref="J24:K24"/>
    <mergeCell ref="S3:X3"/>
    <mergeCell ref="S4:X4"/>
    <mergeCell ref="C4:G4"/>
    <mergeCell ref="C2:G3"/>
    <mergeCell ref="H3:K3"/>
    <mergeCell ref="L3:Q3"/>
    <mergeCell ref="C5:G5"/>
    <mergeCell ref="H5:K5"/>
    <mergeCell ref="L5:O5"/>
    <mergeCell ref="C24:E26"/>
  </mergeCells>
  <conditionalFormatting sqref="A6:A23">
    <cfRule type="dataBar" priority="101">
      <dataBar showValue="0">
        <cfvo type="min"/>
        <cfvo type="max"/>
        <color theme="9"/>
      </dataBar>
      <extLst>
        <ext xmlns:x14="http://schemas.microsoft.com/office/spreadsheetml/2009/9/main" uri="{B025F937-C7B1-47D3-B67F-A62EFF666E3E}">
          <x14:id>{377A3521-CD0D-4C85-906A-B0FD231B7D9A}</x14:id>
        </ext>
      </extLst>
    </cfRule>
  </conditionalFormatting>
  <conditionalFormatting sqref="R19:R57 Q6:R18">
    <cfRule type="dataBar" priority="102">
      <dataBar showValue="0">
        <cfvo type="min"/>
        <cfvo type="max"/>
        <color rgb="FFFF0000"/>
      </dataBar>
      <extLst>
        <ext xmlns:x14="http://schemas.microsoft.com/office/spreadsheetml/2009/9/main" uri="{B025F937-C7B1-47D3-B67F-A62EFF666E3E}">
          <x14:id>{95056A0C-54CA-4FC5-B206-51D65D0767C2}</x14:id>
        </ext>
      </extLst>
    </cfRule>
  </conditionalFormatting>
  <hyperlinks>
    <hyperlink ref="T62" location="'Vannbehandling - Input'!A1" display="Vannbehandling - Rapportering" xr:uid="{00000000-0004-0000-0100-000000000000}"/>
    <hyperlink ref="A38" location="Innledning!A1" display="Tilbake til forside" xr:uid="{00000000-0004-0000-0100-000001000000}"/>
    <hyperlink ref="E38" location="Sammendrag!A1" display="Sammendrag" xr:uid="{00000000-0004-0000-0100-000002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377A3521-CD0D-4C85-906A-B0FD231B7D9A}">
            <x14:dataBar minLength="0" maxLength="100" gradient="0">
              <x14:cfvo type="autoMin"/>
              <x14:cfvo type="autoMax"/>
              <x14:negativeFillColor rgb="FFFF0000"/>
              <x14:axisColor rgb="FF000000"/>
            </x14:dataBar>
          </x14:cfRule>
          <xm:sqref>A6:A23</xm:sqref>
        </x14:conditionalFormatting>
        <x14:conditionalFormatting xmlns:xm="http://schemas.microsoft.com/office/excel/2006/main">
          <x14:cfRule type="dataBar" id="{95056A0C-54CA-4FC5-B206-51D65D0767C2}">
            <x14:dataBar minLength="0" maxLength="100" gradient="0">
              <x14:cfvo type="autoMin"/>
              <x14:cfvo type="autoMax"/>
              <x14:negativeFillColor rgb="FFFF0000"/>
              <x14:axisColor rgb="FF000000"/>
            </x14:dataBar>
          </x14:cfRule>
          <xm:sqref>R19:R57 Q6:R18</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Ark5">
    <tabColor theme="5"/>
  </sheetPr>
  <dimension ref="A1:H71"/>
  <sheetViews>
    <sheetView workbookViewId="0"/>
  </sheetViews>
  <sheetFormatPr baseColWidth="10" defaultColWidth="11.5546875" defaultRowHeight="14.4" x14ac:dyDescent="0.3"/>
  <cols>
    <col min="1" max="1" width="63.5546875" style="16" customWidth="1"/>
    <col min="2" max="2" width="10" style="16" bestFit="1" customWidth="1"/>
    <col min="3" max="3" width="26.88671875" style="16" customWidth="1"/>
    <col min="4" max="4" width="36" style="16" bestFit="1" customWidth="1"/>
    <col min="5" max="5" width="22.109375" style="16" bestFit="1" customWidth="1"/>
    <col min="6" max="6" width="24.88671875" style="16" bestFit="1" customWidth="1"/>
    <col min="7" max="7" width="15.33203125" style="16" bestFit="1" customWidth="1"/>
    <col min="8" max="8" width="24.88671875" style="16" bestFit="1" customWidth="1"/>
    <col min="9" max="11" width="11.5546875" style="16"/>
    <col min="12" max="12" width="31.109375" style="16" bestFit="1" customWidth="1"/>
    <col min="13" max="13" width="73.6640625" style="16" bestFit="1" customWidth="1"/>
    <col min="14" max="15" width="73.6640625" style="16" customWidth="1"/>
    <col min="16" max="16384" width="11.5546875" style="16"/>
  </cols>
  <sheetData>
    <row r="1" spans="1:6" x14ac:dyDescent="0.3">
      <c r="D1" s="14"/>
    </row>
    <row r="2" spans="1:6" ht="15" thickBot="1" x14ac:dyDescent="0.35"/>
    <row r="3" spans="1:6" x14ac:dyDescent="0.3">
      <c r="A3" s="17" t="s">
        <v>172</v>
      </c>
      <c r="B3" s="20"/>
      <c r="D3" s="66" t="s">
        <v>206</v>
      </c>
      <c r="E3" s="76"/>
      <c r="F3" s="20"/>
    </row>
    <row r="4" spans="1:6" x14ac:dyDescent="0.3">
      <c r="A4" s="15" t="s">
        <v>599</v>
      </c>
      <c r="B4" s="18">
        <v>60</v>
      </c>
      <c r="C4" s="16" t="s">
        <v>598</v>
      </c>
      <c r="D4" s="35" t="s">
        <v>593</v>
      </c>
      <c r="E4" s="111" t="s">
        <v>592</v>
      </c>
      <c r="F4" s="32" t="s">
        <v>255</v>
      </c>
    </row>
    <row r="5" spans="1:6" x14ac:dyDescent="0.3">
      <c r="A5" s="15" t="s">
        <v>584</v>
      </c>
      <c r="B5" s="18">
        <v>0.8</v>
      </c>
      <c r="C5" s="16" t="s">
        <v>173</v>
      </c>
      <c r="D5" s="62" t="s">
        <v>241</v>
      </c>
      <c r="E5" s="16">
        <v>0</v>
      </c>
      <c r="F5" s="18">
        <f>0/(0.6)</f>
        <v>0</v>
      </c>
    </row>
    <row r="6" spans="1:6" x14ac:dyDescent="0.3">
      <c r="A6" s="15" t="s">
        <v>174</v>
      </c>
      <c r="B6" s="18">
        <v>0.4</v>
      </c>
      <c r="C6" s="16" t="s">
        <v>175</v>
      </c>
      <c r="D6" s="63" t="s">
        <v>517</v>
      </c>
      <c r="E6" s="54">
        <v>0.65</v>
      </c>
      <c r="F6" s="18">
        <v>0</v>
      </c>
    </row>
    <row r="7" spans="1:6" x14ac:dyDescent="0.3">
      <c r="A7" s="15" t="s">
        <v>176</v>
      </c>
      <c r="B7" s="18">
        <v>365</v>
      </c>
      <c r="D7" s="63" t="s">
        <v>518</v>
      </c>
      <c r="E7" s="54">
        <v>0.65</v>
      </c>
      <c r="F7" s="18">
        <v>0</v>
      </c>
    </row>
    <row r="8" spans="1:6" x14ac:dyDescent="0.3">
      <c r="A8" s="15" t="s">
        <v>181</v>
      </c>
      <c r="B8" s="120">
        <v>0.02</v>
      </c>
      <c r="D8" s="63" t="s">
        <v>288</v>
      </c>
      <c r="E8" s="54">
        <v>0.65</v>
      </c>
      <c r="F8" s="18">
        <f>0/(0.6)</f>
        <v>0</v>
      </c>
    </row>
    <row r="9" spans="1:6" x14ac:dyDescent="0.3">
      <c r="A9" s="15" t="s">
        <v>179</v>
      </c>
      <c r="B9" s="120">
        <v>0.65</v>
      </c>
      <c r="D9" s="63" t="s">
        <v>289</v>
      </c>
      <c r="E9" s="54">
        <v>0.65</v>
      </c>
      <c r="F9" s="18">
        <f>0.06/(0.6)</f>
        <v>0.1</v>
      </c>
    </row>
    <row r="10" spans="1:6" ht="15" customHeight="1" x14ac:dyDescent="0.3">
      <c r="A10" s="15" t="s">
        <v>183</v>
      </c>
      <c r="B10" s="18">
        <v>0.66</v>
      </c>
      <c r="C10" s="16" t="s">
        <v>182</v>
      </c>
      <c r="D10" s="63" t="s">
        <v>295</v>
      </c>
      <c r="E10" s="54">
        <v>0.65</v>
      </c>
      <c r="F10" s="18">
        <f>0.12/(0.6)</f>
        <v>0.2</v>
      </c>
    </row>
    <row r="11" spans="1:6" ht="15" thickBot="1" x14ac:dyDescent="0.35">
      <c r="A11" s="27" t="s">
        <v>585</v>
      </c>
      <c r="B11" s="36">
        <v>0.6</v>
      </c>
      <c r="C11" s="16" t="s">
        <v>185</v>
      </c>
      <c r="D11" s="63" t="s">
        <v>296</v>
      </c>
      <c r="E11" s="54">
        <v>0.65</v>
      </c>
      <c r="F11" s="18">
        <f>0.18/(0.6)</f>
        <v>0.3</v>
      </c>
    </row>
    <row r="12" spans="1:6" ht="15" thickBot="1" x14ac:dyDescent="0.35">
      <c r="A12" s="15"/>
      <c r="B12" s="18"/>
      <c r="D12" s="63" t="s">
        <v>292</v>
      </c>
      <c r="E12" s="54">
        <v>0.3</v>
      </c>
      <c r="F12" s="18">
        <f>0.24/(0.6)</f>
        <v>0.4</v>
      </c>
    </row>
    <row r="13" spans="1:6" x14ac:dyDescent="0.3">
      <c r="A13" s="17" t="s">
        <v>207</v>
      </c>
      <c r="B13" s="20"/>
      <c r="D13" s="63" t="s">
        <v>293</v>
      </c>
      <c r="E13" s="54">
        <v>0.65</v>
      </c>
      <c r="F13" s="18">
        <f>0.06/(0.6)</f>
        <v>0.1</v>
      </c>
    </row>
    <row r="14" spans="1:6" x14ac:dyDescent="0.3">
      <c r="A14" s="15" t="s">
        <v>190</v>
      </c>
      <c r="B14" s="18">
        <v>1</v>
      </c>
      <c r="D14" s="63" t="s">
        <v>294</v>
      </c>
      <c r="E14" s="54">
        <v>0.65</v>
      </c>
      <c r="F14" s="18">
        <f>0.006/(0.6)</f>
        <v>0.01</v>
      </c>
    </row>
    <row r="15" spans="1:6" ht="15" thickBot="1" x14ac:dyDescent="0.35">
      <c r="A15" s="27" t="s">
        <v>189</v>
      </c>
      <c r="B15" s="36">
        <v>3.2</v>
      </c>
      <c r="C15" s="16" t="s">
        <v>188</v>
      </c>
      <c r="D15" s="63" t="s">
        <v>504</v>
      </c>
      <c r="E15" s="114">
        <f>'Avløpsbehandling - CH4&amp;N2O g'!D11</f>
        <v>0</v>
      </c>
      <c r="F15" s="18">
        <f>'Avløpsbehandling - CH4&amp;N2O g'!E11</f>
        <v>0</v>
      </c>
    </row>
    <row r="16" spans="1:6" ht="15" thickBot="1" x14ac:dyDescent="0.35">
      <c r="A16" s="15"/>
      <c r="B16" s="18"/>
      <c r="D16" s="63" t="s">
        <v>290</v>
      </c>
      <c r="E16" s="54"/>
      <c r="F16" s="18">
        <v>0.5</v>
      </c>
    </row>
    <row r="17" spans="1:8" ht="15" thickBot="1" x14ac:dyDescent="0.35">
      <c r="A17" s="17" t="s">
        <v>191</v>
      </c>
      <c r="B17" s="20"/>
      <c r="D17" s="64" t="s">
        <v>291</v>
      </c>
      <c r="E17" s="192"/>
      <c r="F17" s="36">
        <v>0.1</v>
      </c>
      <c r="G17" s="54"/>
      <c r="H17" s="54"/>
    </row>
    <row r="18" spans="1:8" x14ac:dyDescent="0.3">
      <c r="A18" s="15" t="s">
        <v>586</v>
      </c>
      <c r="B18" s="18">
        <v>0.55000000000000004</v>
      </c>
      <c r="G18" s="54"/>
      <c r="H18" s="54"/>
    </row>
    <row r="19" spans="1:8" x14ac:dyDescent="0.3">
      <c r="A19" s="15" t="s">
        <v>256</v>
      </c>
      <c r="B19" s="120">
        <v>0.1</v>
      </c>
      <c r="G19" s="54"/>
      <c r="H19" s="54"/>
    </row>
    <row r="20" spans="1:8" ht="15" thickBot="1" x14ac:dyDescent="0.35">
      <c r="A20" s="27" t="s">
        <v>193</v>
      </c>
      <c r="B20" s="36">
        <v>1.1759999999999999</v>
      </c>
      <c r="C20" s="16" t="s">
        <v>194</v>
      </c>
      <c r="G20" s="54"/>
      <c r="H20" s="54"/>
    </row>
    <row r="21" spans="1:8" ht="15" thickBot="1" x14ac:dyDescent="0.35">
      <c r="A21" s="15"/>
      <c r="B21" s="18"/>
      <c r="G21" s="54"/>
      <c r="H21" s="54"/>
    </row>
    <row r="22" spans="1:8" x14ac:dyDescent="0.3">
      <c r="A22" s="17" t="s">
        <v>205</v>
      </c>
      <c r="B22" s="20"/>
      <c r="G22" s="54"/>
    </row>
    <row r="23" spans="1:8" x14ac:dyDescent="0.3">
      <c r="A23" s="15" t="s">
        <v>200</v>
      </c>
      <c r="B23" s="120">
        <v>0.5</v>
      </c>
      <c r="G23" s="54"/>
    </row>
    <row r="24" spans="1:8" x14ac:dyDescent="0.3">
      <c r="A24" s="15" t="s">
        <v>201</v>
      </c>
      <c r="B24" s="120">
        <v>0.51</v>
      </c>
      <c r="G24" s="54"/>
    </row>
    <row r="25" spans="1:8" x14ac:dyDescent="0.3">
      <c r="A25" s="15" t="s">
        <v>202</v>
      </c>
      <c r="B25" s="120">
        <v>0.7</v>
      </c>
      <c r="G25" s="54"/>
    </row>
    <row r="26" spans="1:8" x14ac:dyDescent="0.3">
      <c r="A26" s="15" t="s">
        <v>203</v>
      </c>
      <c r="B26" s="121">
        <v>2.5000000000000001E-2</v>
      </c>
      <c r="G26" s="54"/>
    </row>
    <row r="27" spans="1:8" x14ac:dyDescent="0.3">
      <c r="A27" s="15" t="s">
        <v>204</v>
      </c>
      <c r="B27" s="122">
        <v>1.3</v>
      </c>
      <c r="G27" s="54"/>
    </row>
    <row r="28" spans="1:8" ht="15" thickBot="1" x14ac:dyDescent="0.35">
      <c r="A28" s="27" t="s">
        <v>199</v>
      </c>
      <c r="B28" s="116">
        <f>torr_slam*IF(har_slamfordoyer="Ja",TVS_fordoyet_slam*0.06,TVS_ikke_fordoyet_slam*0.53)*org_C_TVS*C_til_CH4</f>
        <v>60.855895900799993</v>
      </c>
      <c r="C28" s="16" t="s">
        <v>276</v>
      </c>
      <c r="G28" s="54"/>
    </row>
    <row r="29" spans="1:8" ht="15" thickBot="1" x14ac:dyDescent="0.35">
      <c r="A29" s="15"/>
      <c r="B29" s="18"/>
      <c r="G29" s="54"/>
    </row>
    <row r="30" spans="1:8" x14ac:dyDescent="0.3">
      <c r="A30" s="17" t="s">
        <v>210</v>
      </c>
      <c r="B30" s="20"/>
      <c r="G30" s="54"/>
    </row>
    <row r="31" spans="1:8" x14ac:dyDescent="0.3">
      <c r="A31" s="15" t="s">
        <v>115</v>
      </c>
      <c r="B31" s="120">
        <v>0.03</v>
      </c>
      <c r="G31" s="54"/>
    </row>
    <row r="32" spans="1:8" x14ac:dyDescent="0.3">
      <c r="A32" s="15" t="s">
        <v>208</v>
      </c>
      <c r="B32" s="123">
        <v>1.4999999999999999E-2</v>
      </c>
    </row>
    <row r="33" spans="1:3" x14ac:dyDescent="0.3">
      <c r="A33" s="15" t="s">
        <v>209</v>
      </c>
      <c r="B33" s="18">
        <v>1.57</v>
      </c>
    </row>
    <row r="34" spans="1:3" x14ac:dyDescent="0.3">
      <c r="A34" s="15" t="s">
        <v>236</v>
      </c>
      <c r="B34" s="18">
        <v>1023</v>
      </c>
      <c r="C34" s="16" t="s">
        <v>237</v>
      </c>
    </row>
    <row r="35" spans="1:3" ht="15" thickBot="1" x14ac:dyDescent="0.35">
      <c r="A35" s="27" t="s">
        <v>211</v>
      </c>
      <c r="B35" s="36">
        <v>4.85E-5</v>
      </c>
    </row>
    <row r="36" spans="1:3" ht="15" thickBot="1" x14ac:dyDescent="0.35">
      <c r="A36" s="15"/>
      <c r="B36" s="18"/>
    </row>
    <row r="37" spans="1:3" x14ac:dyDescent="0.3">
      <c r="A37" s="17" t="s">
        <v>212</v>
      </c>
      <c r="B37" s="20"/>
    </row>
    <row r="38" spans="1:3" x14ac:dyDescent="0.3">
      <c r="A38" s="15" t="s">
        <v>588</v>
      </c>
      <c r="B38" s="120">
        <v>0.03</v>
      </c>
    </row>
    <row r="39" spans="1:3" x14ac:dyDescent="0.3">
      <c r="A39" s="15" t="s">
        <v>589</v>
      </c>
      <c r="B39" s="120">
        <v>0.04</v>
      </c>
    </row>
    <row r="40" spans="1:3" x14ac:dyDescent="0.3">
      <c r="A40" s="15" t="s">
        <v>213</v>
      </c>
      <c r="B40" s="121">
        <v>2.5000000000000001E-2</v>
      </c>
    </row>
    <row r="41" spans="1:3" ht="15" thickBot="1" x14ac:dyDescent="0.35">
      <c r="A41" s="27" t="s">
        <v>214</v>
      </c>
      <c r="B41" s="124">
        <v>5.0000000000000001E-3</v>
      </c>
    </row>
    <row r="42" spans="1:3" ht="15" thickBot="1" x14ac:dyDescent="0.35">
      <c r="A42" s="15"/>
      <c r="B42" s="18"/>
    </row>
    <row r="43" spans="1:3" x14ac:dyDescent="0.3">
      <c r="A43" s="17" t="s">
        <v>215</v>
      </c>
      <c r="B43" s="20"/>
    </row>
    <row r="44" spans="1:3" x14ac:dyDescent="0.3">
      <c r="A44" s="15" t="s">
        <v>216</v>
      </c>
      <c r="B44" s="120">
        <v>0.9</v>
      </c>
    </row>
    <row r="45" spans="1:3" x14ac:dyDescent="0.3">
      <c r="A45" s="15" t="s">
        <v>219</v>
      </c>
      <c r="B45" s="120">
        <v>0.5</v>
      </c>
    </row>
    <row r="46" spans="1:3" x14ac:dyDescent="0.3">
      <c r="A46" s="15" t="s">
        <v>217</v>
      </c>
      <c r="B46" s="120">
        <v>0.8</v>
      </c>
    </row>
    <row r="47" spans="1:3" x14ac:dyDescent="0.3">
      <c r="A47" s="15" t="s">
        <v>218</v>
      </c>
      <c r="B47" s="121">
        <v>0.69899999999999995</v>
      </c>
    </row>
    <row r="48" spans="1:3" ht="15" thickBot="1" x14ac:dyDescent="0.35">
      <c r="A48" s="27" t="s">
        <v>68</v>
      </c>
      <c r="B48" s="36">
        <v>1</v>
      </c>
    </row>
    <row r="49" spans="1:5" ht="15" thickBot="1" x14ac:dyDescent="0.35">
      <c r="A49" s="15"/>
      <c r="B49" s="18"/>
    </row>
    <row r="50" spans="1:5" x14ac:dyDescent="0.3">
      <c r="A50" s="17" t="s">
        <v>400</v>
      </c>
      <c r="B50" s="20"/>
    </row>
    <row r="51" spans="1:5" x14ac:dyDescent="0.3">
      <c r="A51" s="15" t="s">
        <v>226</v>
      </c>
      <c r="B51" s="18">
        <v>33.200000000000003</v>
      </c>
      <c r="C51" s="16" t="s">
        <v>230</v>
      </c>
    </row>
    <row r="52" spans="1:5" x14ac:dyDescent="0.3">
      <c r="A52" s="15" t="s">
        <v>221</v>
      </c>
      <c r="B52" s="18">
        <v>0.16</v>
      </c>
      <c r="C52" s="16" t="s">
        <v>222</v>
      </c>
      <c r="E52" s="125"/>
    </row>
    <row r="53" spans="1:5" x14ac:dyDescent="0.3">
      <c r="A53" s="15" t="s">
        <v>223</v>
      </c>
      <c r="B53" s="18">
        <v>1.1000000000000001</v>
      </c>
    </row>
    <row r="54" spans="1:5" x14ac:dyDescent="0.3">
      <c r="A54" s="15" t="s">
        <v>224</v>
      </c>
      <c r="B54" s="18">
        <v>1</v>
      </c>
    </row>
    <row r="55" spans="1:5" x14ac:dyDescent="0.3">
      <c r="A55" s="15" t="s">
        <v>225</v>
      </c>
      <c r="B55" s="18">
        <v>5.0000000000000001E-3</v>
      </c>
      <c r="C55" s="16" t="s">
        <v>228</v>
      </c>
    </row>
    <row r="56" spans="1:5" x14ac:dyDescent="0.3">
      <c r="A56" s="15" t="s">
        <v>227</v>
      </c>
      <c r="B56" s="18">
        <v>1.57</v>
      </c>
      <c r="C56" s="16" t="s">
        <v>229</v>
      </c>
    </row>
    <row r="57" spans="1:5" x14ac:dyDescent="0.3">
      <c r="A57" s="15" t="s">
        <v>398</v>
      </c>
      <c r="B57" s="18">
        <v>0.1</v>
      </c>
    </row>
    <row r="58" spans="1:5" x14ac:dyDescent="0.3">
      <c r="A58" s="15" t="s">
        <v>399</v>
      </c>
      <c r="B58" s="18">
        <v>0.5</v>
      </c>
    </row>
    <row r="59" spans="1:5" ht="15" thickBot="1" x14ac:dyDescent="0.35">
      <c r="A59" s="27" t="s">
        <v>240</v>
      </c>
      <c r="B59" s="126">
        <v>1.4999999999999999E-2</v>
      </c>
    </row>
    <row r="60" spans="1:5" ht="15" thickBot="1" x14ac:dyDescent="0.35">
      <c r="A60" s="15"/>
    </row>
    <row r="61" spans="1:5" x14ac:dyDescent="0.3">
      <c r="A61" s="17" t="s">
        <v>252</v>
      </c>
      <c r="B61" s="20"/>
    </row>
    <row r="62" spans="1:5" x14ac:dyDescent="0.3">
      <c r="A62" s="15" t="s">
        <v>206</v>
      </c>
      <c r="B62" s="18">
        <v>28</v>
      </c>
      <c r="C62" s="16" t="s">
        <v>590</v>
      </c>
    </row>
    <row r="63" spans="1:5" ht="15" thickBot="1" x14ac:dyDescent="0.35">
      <c r="A63" s="27" t="s">
        <v>207</v>
      </c>
      <c r="B63" s="36">
        <v>265</v>
      </c>
      <c r="C63" s="16" t="s">
        <v>591</v>
      </c>
    </row>
    <row r="64" spans="1:5" ht="15" thickBot="1" x14ac:dyDescent="0.35">
      <c r="A64" s="15"/>
    </row>
    <row r="65" spans="1:4" x14ac:dyDescent="0.3">
      <c r="A65" s="51" t="s">
        <v>205</v>
      </c>
      <c r="B65" s="44" t="s">
        <v>206</v>
      </c>
      <c r="C65" s="191" t="s">
        <v>207</v>
      </c>
    </row>
    <row r="66" spans="1:4" x14ac:dyDescent="0.3">
      <c r="A66" s="15" t="s">
        <v>239</v>
      </c>
      <c r="B66" s="118">
        <f>IF(kompost_dekket="Nei",torr_slam*org_C_TVS*CH4_udekket_kompost*C_til_CH4*IF(bio_valorisert="Ja",TVS_fordoyet_slam,TVS_ikke_fordoyet_slam),0)</f>
        <v>25.356623292000002</v>
      </c>
      <c r="C66" s="117">
        <f>IF(CN_i_slam&lt;30,torr_slam*forb_total_N*N2O_lav_CN*N_til_N2O,0)</f>
        <v>2.1616234516799997</v>
      </c>
    </row>
    <row r="67" spans="1:4" x14ac:dyDescent="0.3">
      <c r="A67" s="15" t="s">
        <v>249</v>
      </c>
      <c r="B67" s="127">
        <f>torr_slam*CH4_forb_torr</f>
        <v>0.14839170191999998</v>
      </c>
      <c r="C67" s="117">
        <f>torr_slam*forb_total_N*(161.3-0.14*forb_temp)*0.01*N_til_N2O</f>
        <v>26.054768004249581</v>
      </c>
    </row>
    <row r="68" spans="1:4" x14ac:dyDescent="0.3">
      <c r="A68" s="15" t="s">
        <v>250</v>
      </c>
      <c r="B68" s="15">
        <v>0</v>
      </c>
      <c r="C68" s="122">
        <f>IF('Avløpsbehandling - CH4&amp;N2O g'!F32&lt;30,torr_slam*IF(bio_valorisert="Ja",N_fordøyet,N_ikke_fordoyet)*N_til_N2O_ftekst*N_til_N2O,0)</f>
        <v>4.8036076704000008</v>
      </c>
    </row>
    <row r="69" spans="1:4" ht="15" thickBot="1" x14ac:dyDescent="0.35">
      <c r="A69" s="27" t="s">
        <v>251</v>
      </c>
      <c r="B69" s="128">
        <f>torr_slam*org_C_TVS*IF(har_slamfordoyer="Ja",TVS_fordoyet_slam,TVS_ikke_fordoyet_slam)*usikkerhet*CH4_i_deponi*DOC_ila_3_år*MCF_deponi*C_til_CH4*DOC_slam</f>
        <v>255.22962740795515</v>
      </c>
      <c r="C69" s="129">
        <f>IF(CN_i_slam&lt;30,torr_slam*IF(har_slamfordoyer="Ja",N_fordøyet,N_ikke_fordoyet)*N2O_N2ON*N2O_lav_CN_ubehandlet,0)</f>
        <v>2.8821646022399996</v>
      </c>
    </row>
    <row r="70" spans="1:4" x14ac:dyDescent="0.3">
      <c r="A70" s="15"/>
    </row>
    <row r="71" spans="1:4" x14ac:dyDescent="0.3">
      <c r="A71" s="98" t="s">
        <v>375</v>
      </c>
      <c r="D71" s="98" t="s">
        <v>381</v>
      </c>
    </row>
  </sheetData>
  <hyperlinks>
    <hyperlink ref="A71" location="Innledning!A1" display="Tilbake til forside" xr:uid="{00000000-0004-0000-0E00-000000000000}"/>
    <hyperlink ref="D71" location="Sammendrag!A1" display="Sammendrag" xr:uid="{00000000-0004-0000-0E00-000001000000}"/>
  </hyperlinks>
  <pageMargins left="0.7" right="0.7" top="0.75" bottom="0.75" header="0.3" footer="0.3"/>
  <pageSetup paperSize="9" orientation="portrait"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48"/>
  <sheetViews>
    <sheetView workbookViewId="0">
      <selection activeCell="E24" sqref="E24:E26"/>
    </sheetView>
  </sheetViews>
  <sheetFormatPr baseColWidth="10" defaultColWidth="11.5546875" defaultRowHeight="14.4" x14ac:dyDescent="0.3"/>
  <cols>
    <col min="1" max="1" width="19.44140625" bestFit="1" customWidth="1"/>
    <col min="4" max="4" width="37.6640625" bestFit="1" customWidth="1"/>
    <col min="5" max="5" width="12.6640625" bestFit="1" customWidth="1"/>
    <col min="6" max="6" width="24.109375" customWidth="1"/>
    <col min="9" max="9" width="19.44140625" bestFit="1" customWidth="1"/>
    <col min="10" max="10" width="15.33203125" bestFit="1" customWidth="1"/>
  </cols>
  <sheetData>
    <row r="1" spans="1:10" x14ac:dyDescent="0.3">
      <c r="A1" s="44"/>
      <c r="B1" s="31"/>
      <c r="C1" s="31"/>
      <c r="D1" s="78"/>
      <c r="E1" s="31" t="s">
        <v>443</v>
      </c>
      <c r="F1" s="31" t="s">
        <v>366</v>
      </c>
      <c r="G1" s="31" t="s">
        <v>367</v>
      </c>
      <c r="H1" s="25" t="s">
        <v>449</v>
      </c>
    </row>
    <row r="2" spans="1:10" x14ac:dyDescent="0.3">
      <c r="A2" s="15" t="s">
        <v>486</v>
      </c>
      <c r="B2" s="16">
        <v>100</v>
      </c>
      <c r="C2" s="16">
        <v>3</v>
      </c>
      <c r="D2" s="115" t="s">
        <v>323</v>
      </c>
      <c r="E2" s="94"/>
      <c r="F2" s="96"/>
      <c r="G2" s="94">
        <f>IF(F2=0,E2,F2)</f>
        <v>0</v>
      </c>
      <c r="H2" s="18" t="s">
        <v>322</v>
      </c>
    </row>
    <row r="3" spans="1:10" x14ac:dyDescent="0.3">
      <c r="A3" s="15"/>
      <c r="B3" s="16">
        <v>105</v>
      </c>
      <c r="C3" s="16">
        <v>3</v>
      </c>
      <c r="D3" s="115" t="s">
        <v>455</v>
      </c>
      <c r="E3" s="94"/>
      <c r="F3" s="96"/>
      <c r="G3" s="94">
        <f t="shared" ref="G3:G40" si="0">IF(F3=0,E3,F3)</f>
        <v>0</v>
      </c>
      <c r="H3" s="18" t="s">
        <v>322</v>
      </c>
    </row>
    <row r="4" spans="1:10" x14ac:dyDescent="0.3">
      <c r="A4" s="15"/>
      <c r="B4" s="16">
        <v>110</v>
      </c>
      <c r="C4" s="16">
        <v>3</v>
      </c>
      <c r="D4" s="115" t="s">
        <v>456</v>
      </c>
      <c r="E4" s="94"/>
      <c r="F4" s="96"/>
      <c r="G4" s="94">
        <f t="shared" si="0"/>
        <v>0</v>
      </c>
      <c r="H4" s="18" t="s">
        <v>322</v>
      </c>
    </row>
    <row r="5" spans="1:10" x14ac:dyDescent="0.3">
      <c r="A5" s="15"/>
      <c r="B5" s="16">
        <v>114</v>
      </c>
      <c r="C5" s="16">
        <v>3</v>
      </c>
      <c r="D5" s="115" t="s">
        <v>457</v>
      </c>
      <c r="E5" s="94"/>
      <c r="F5" s="96"/>
      <c r="G5" s="94">
        <f t="shared" si="0"/>
        <v>0</v>
      </c>
      <c r="H5" s="18" t="s">
        <v>322</v>
      </c>
    </row>
    <row r="6" spans="1:10" x14ac:dyDescent="0.3">
      <c r="A6" s="15"/>
      <c r="B6" s="16">
        <v>115</v>
      </c>
      <c r="C6" s="16">
        <v>3</v>
      </c>
      <c r="D6" s="115" t="s">
        <v>458</v>
      </c>
      <c r="E6" s="94"/>
      <c r="F6" s="96"/>
      <c r="G6" s="94">
        <f t="shared" si="0"/>
        <v>0</v>
      </c>
      <c r="H6" s="18" t="s">
        <v>322</v>
      </c>
    </row>
    <row r="7" spans="1:10" x14ac:dyDescent="0.3">
      <c r="A7" s="15"/>
      <c r="B7" s="16">
        <v>120</v>
      </c>
      <c r="C7" s="16">
        <v>3</v>
      </c>
      <c r="D7" s="115" t="s">
        <v>459</v>
      </c>
      <c r="E7" s="94">
        <v>2.862976003245276E-2</v>
      </c>
      <c r="F7" s="96"/>
      <c r="G7" s="94">
        <f t="shared" si="0"/>
        <v>2.862976003245276E-2</v>
      </c>
      <c r="H7" s="18" t="s">
        <v>322</v>
      </c>
    </row>
    <row r="8" spans="1:10" x14ac:dyDescent="0.3">
      <c r="A8" s="15"/>
      <c r="B8" s="16">
        <v>130</v>
      </c>
      <c r="C8" s="16">
        <v>3</v>
      </c>
      <c r="D8" s="115" t="s">
        <v>460</v>
      </c>
      <c r="E8" s="94"/>
      <c r="F8" s="96"/>
      <c r="G8" s="94">
        <f t="shared" si="0"/>
        <v>0</v>
      </c>
      <c r="H8" s="18" t="s">
        <v>322</v>
      </c>
    </row>
    <row r="9" spans="1:10" x14ac:dyDescent="0.3">
      <c r="A9" s="15"/>
      <c r="B9" s="16">
        <v>140</v>
      </c>
      <c r="C9" s="16">
        <v>3</v>
      </c>
      <c r="D9" s="115" t="s">
        <v>461</v>
      </c>
      <c r="E9" s="94"/>
      <c r="F9" s="96"/>
      <c r="G9" s="94">
        <f t="shared" si="0"/>
        <v>0</v>
      </c>
      <c r="H9" s="18" t="s">
        <v>322</v>
      </c>
    </row>
    <row r="10" spans="1:10" x14ac:dyDescent="0.3">
      <c r="A10" s="15" t="s">
        <v>492</v>
      </c>
      <c r="B10" s="16">
        <v>150</v>
      </c>
      <c r="C10" s="16">
        <v>3</v>
      </c>
      <c r="D10" s="115" t="s">
        <v>462</v>
      </c>
      <c r="E10" s="94"/>
      <c r="F10" s="96"/>
      <c r="G10" s="94">
        <f t="shared" si="0"/>
        <v>0</v>
      </c>
      <c r="H10" s="18" t="s">
        <v>322</v>
      </c>
    </row>
    <row r="11" spans="1:10" x14ac:dyDescent="0.3">
      <c r="A11" s="15"/>
      <c r="B11" s="16">
        <v>160</v>
      </c>
      <c r="C11" s="16">
        <v>3</v>
      </c>
      <c r="D11" s="115" t="s">
        <v>463</v>
      </c>
      <c r="E11" s="94">
        <v>8.8701257402810735E-2</v>
      </c>
      <c r="F11" s="96"/>
      <c r="G11" s="94">
        <f t="shared" si="0"/>
        <v>8.8701257402810735E-2</v>
      </c>
      <c r="H11" s="18" t="s">
        <v>322</v>
      </c>
    </row>
    <row r="12" spans="1:10" x14ac:dyDescent="0.3">
      <c r="A12" s="15"/>
      <c r="B12" s="16">
        <v>165</v>
      </c>
      <c r="C12" s="16">
        <v>3</v>
      </c>
      <c r="D12" s="115" t="s">
        <v>464</v>
      </c>
      <c r="E12" s="94"/>
      <c r="F12" s="96"/>
      <c r="G12" s="94">
        <f t="shared" si="0"/>
        <v>0</v>
      </c>
      <c r="H12" s="18" t="s">
        <v>322</v>
      </c>
    </row>
    <row r="13" spans="1:10" x14ac:dyDescent="0.3">
      <c r="A13" s="15"/>
      <c r="B13" s="16">
        <v>170</v>
      </c>
      <c r="C13" s="16">
        <v>3</v>
      </c>
      <c r="D13" s="115" t="s">
        <v>465</v>
      </c>
      <c r="E13" s="94">
        <v>3.3156156530825306E-2</v>
      </c>
      <c r="F13" s="96"/>
      <c r="G13" s="94">
        <f t="shared" si="0"/>
        <v>3.3156156530825306E-2</v>
      </c>
      <c r="H13" s="18" t="s">
        <v>322</v>
      </c>
    </row>
    <row r="14" spans="1:10" x14ac:dyDescent="0.3">
      <c r="A14" s="15" t="s">
        <v>307</v>
      </c>
      <c r="B14" s="16">
        <v>180</v>
      </c>
      <c r="C14" s="16">
        <v>2</v>
      </c>
      <c r="D14" s="115" t="s">
        <v>487</v>
      </c>
      <c r="E14" s="94">
        <f>'Input KOSTRA regnskapsdata'!F31*'Vann og Avløp-utslippsfaktorer'!D3</f>
        <v>9.6495300000000006E-2</v>
      </c>
      <c r="F14" s="96"/>
      <c r="G14" s="94">
        <f>IF(F14=0,E14,F14)</f>
        <v>9.6495300000000006E-2</v>
      </c>
      <c r="H14" s="18" t="s">
        <v>322</v>
      </c>
    </row>
    <row r="15" spans="1:10" x14ac:dyDescent="0.3">
      <c r="A15" s="15"/>
      <c r="B15" s="16">
        <v>181</v>
      </c>
      <c r="C15" s="16">
        <v>2</v>
      </c>
      <c r="D15" s="115" t="s">
        <v>488</v>
      </c>
      <c r="E15" s="287">
        <f>I15*'Vann og Avløp-utslippsfaktorer'!D4</f>
        <v>0.48648599999999997</v>
      </c>
      <c r="F15" s="96"/>
      <c r="G15" s="94">
        <f t="shared" si="0"/>
        <v>0.48648599999999997</v>
      </c>
      <c r="H15" s="18" t="s">
        <v>322</v>
      </c>
      <c r="I15">
        <f>'Input KOSTRA regnskapsdata'!F31</f>
        <v>2.673</v>
      </c>
      <c r="J15" t="s">
        <v>741</v>
      </c>
    </row>
    <row r="16" spans="1:10" x14ac:dyDescent="0.3">
      <c r="A16" s="15"/>
      <c r="B16" s="16">
        <v>182</v>
      </c>
      <c r="C16" s="16">
        <v>1</v>
      </c>
      <c r="D16" s="115" t="s">
        <v>489</v>
      </c>
      <c r="E16" s="94">
        <v>0.35136000000000001</v>
      </c>
      <c r="F16" s="96"/>
      <c r="G16" s="94">
        <f t="shared" si="0"/>
        <v>0.35136000000000001</v>
      </c>
      <c r="H16" s="18" t="s">
        <v>322</v>
      </c>
    </row>
    <row r="17" spans="1:8" x14ac:dyDescent="0.3">
      <c r="A17" s="15"/>
      <c r="B17" s="16">
        <v>183</v>
      </c>
      <c r="C17" s="16">
        <v>1</v>
      </c>
      <c r="D17" s="115" t="s">
        <v>490</v>
      </c>
      <c r="E17" s="94">
        <v>0.21820799999999999</v>
      </c>
      <c r="F17" s="96"/>
      <c r="G17" s="94">
        <f t="shared" si="0"/>
        <v>0.21820799999999999</v>
      </c>
      <c r="H17" s="18" t="s">
        <v>322</v>
      </c>
    </row>
    <row r="18" spans="1:8" x14ac:dyDescent="0.3">
      <c r="A18" s="15"/>
      <c r="B18" s="16">
        <v>184</v>
      </c>
      <c r="C18" s="16">
        <v>1</v>
      </c>
      <c r="D18" s="115" t="s">
        <v>491</v>
      </c>
      <c r="E18" s="94">
        <v>7.6799999999999993E-2</v>
      </c>
      <c r="F18" s="96"/>
      <c r="G18" s="94">
        <f t="shared" si="0"/>
        <v>7.6799999999999993E-2</v>
      </c>
      <c r="H18" s="18" t="s">
        <v>322</v>
      </c>
    </row>
    <row r="19" spans="1:8" x14ac:dyDescent="0.3">
      <c r="A19" s="15" t="s">
        <v>486</v>
      </c>
      <c r="B19" s="16">
        <v>185</v>
      </c>
      <c r="C19" s="16">
        <v>3</v>
      </c>
      <c r="D19" s="115" t="s">
        <v>466</v>
      </c>
      <c r="E19" s="94"/>
      <c r="F19" s="96"/>
      <c r="G19" s="94">
        <f t="shared" si="0"/>
        <v>0</v>
      </c>
      <c r="H19" s="18" t="s">
        <v>322</v>
      </c>
    </row>
    <row r="20" spans="1:8" x14ac:dyDescent="0.3">
      <c r="A20" s="15" t="s">
        <v>493</v>
      </c>
      <c r="B20" s="16">
        <v>190</v>
      </c>
      <c r="C20" s="16">
        <v>3</v>
      </c>
      <c r="D20" s="115" t="s">
        <v>467</v>
      </c>
      <c r="E20" s="94">
        <v>1.571045773870321E-2</v>
      </c>
      <c r="F20" s="96"/>
      <c r="G20" s="94">
        <f t="shared" si="0"/>
        <v>1.571045773870321E-2</v>
      </c>
      <c r="H20" s="18" t="s">
        <v>322</v>
      </c>
    </row>
    <row r="21" spans="1:8" x14ac:dyDescent="0.3">
      <c r="A21" s="15" t="s">
        <v>486</v>
      </c>
      <c r="B21" s="16">
        <v>195</v>
      </c>
      <c r="C21" s="16">
        <v>3</v>
      </c>
      <c r="D21" s="115" t="s">
        <v>468</v>
      </c>
      <c r="E21" s="94">
        <v>9.8698375032851421E-3</v>
      </c>
      <c r="F21" s="96"/>
      <c r="G21" s="94">
        <f t="shared" si="0"/>
        <v>9.8698375032851421E-3</v>
      </c>
      <c r="H21" s="18" t="s">
        <v>322</v>
      </c>
    </row>
    <row r="22" spans="1:8" x14ac:dyDescent="0.3">
      <c r="A22" s="15" t="s">
        <v>494</v>
      </c>
      <c r="B22" s="16">
        <v>200</v>
      </c>
      <c r="C22" s="16">
        <v>3</v>
      </c>
      <c r="D22" s="115" t="s">
        <v>324</v>
      </c>
      <c r="E22" s="94">
        <v>1.8117068197161076E-2</v>
      </c>
      <c r="F22" s="96"/>
      <c r="G22" s="94">
        <f t="shared" si="0"/>
        <v>1.8117068197161076E-2</v>
      </c>
      <c r="H22" s="18" t="s">
        <v>322</v>
      </c>
    </row>
    <row r="23" spans="1:8" x14ac:dyDescent="0.3">
      <c r="A23" s="15"/>
      <c r="B23" s="16">
        <v>209</v>
      </c>
      <c r="C23" s="16">
        <v>3</v>
      </c>
      <c r="D23" s="115" t="s">
        <v>469</v>
      </c>
      <c r="E23" s="94"/>
      <c r="F23" s="96"/>
      <c r="G23" s="94">
        <f t="shared" si="0"/>
        <v>0</v>
      </c>
      <c r="H23" s="18" t="s">
        <v>322</v>
      </c>
    </row>
    <row r="24" spans="1:8" x14ac:dyDescent="0.3">
      <c r="A24" s="15"/>
      <c r="B24" s="16">
        <v>210</v>
      </c>
      <c r="C24" s="16">
        <v>3</v>
      </c>
      <c r="D24" s="115" t="s">
        <v>470</v>
      </c>
      <c r="E24" s="94">
        <v>1.4655081833350776E-2</v>
      </c>
      <c r="F24" s="96"/>
      <c r="G24" s="94">
        <f t="shared" si="0"/>
        <v>1.4655081833350776E-2</v>
      </c>
      <c r="H24" s="18" t="s">
        <v>322</v>
      </c>
    </row>
    <row r="25" spans="1:8" x14ac:dyDescent="0.3">
      <c r="A25" s="15"/>
      <c r="B25" s="16">
        <v>220</v>
      </c>
      <c r="C25" s="16">
        <v>3</v>
      </c>
      <c r="D25" s="115" t="s">
        <v>471</v>
      </c>
      <c r="E25" s="94">
        <v>1.8523104669232664E-2</v>
      </c>
      <c r="F25" s="96"/>
      <c r="G25" s="94">
        <f t="shared" si="0"/>
        <v>1.8523104669232664E-2</v>
      </c>
      <c r="H25" s="18" t="s">
        <v>322</v>
      </c>
    </row>
    <row r="26" spans="1:8" x14ac:dyDescent="0.3">
      <c r="A26" s="15" t="s">
        <v>493</v>
      </c>
      <c r="B26" s="16">
        <v>230</v>
      </c>
      <c r="C26" s="16">
        <v>3</v>
      </c>
      <c r="D26" s="115" t="s">
        <v>472</v>
      </c>
      <c r="E26" s="94">
        <v>2.3476125074480072E-2</v>
      </c>
      <c r="F26" s="96"/>
      <c r="G26" s="94">
        <f t="shared" si="0"/>
        <v>2.3476125074480072E-2</v>
      </c>
      <c r="H26" s="18" t="s">
        <v>322</v>
      </c>
    </row>
    <row r="27" spans="1:8" x14ac:dyDescent="0.3">
      <c r="A27" s="15"/>
      <c r="B27" s="16">
        <v>240</v>
      </c>
      <c r="C27" s="16">
        <v>3</v>
      </c>
      <c r="D27" s="115" t="s">
        <v>473</v>
      </c>
      <c r="E27" s="94"/>
      <c r="F27" s="96"/>
      <c r="G27" s="94">
        <f t="shared" si="0"/>
        <v>0</v>
      </c>
      <c r="H27" s="18" t="s">
        <v>322</v>
      </c>
    </row>
    <row r="28" spans="1:8" x14ac:dyDescent="0.3">
      <c r="A28" s="15"/>
      <c r="B28" s="16">
        <v>250</v>
      </c>
      <c r="C28" s="16">
        <v>3</v>
      </c>
      <c r="D28" s="115" t="s">
        <v>474</v>
      </c>
      <c r="E28" s="94">
        <v>5.4162944984814408E-2</v>
      </c>
      <c r="F28" s="96"/>
      <c r="G28" s="94">
        <f t="shared" si="0"/>
        <v>5.4162944984814408E-2</v>
      </c>
      <c r="H28" s="18" t="s">
        <v>322</v>
      </c>
    </row>
    <row r="29" spans="1:8" x14ac:dyDescent="0.3">
      <c r="A29" s="15"/>
      <c r="B29" s="16">
        <v>260</v>
      </c>
      <c r="C29" s="16">
        <v>3</v>
      </c>
      <c r="D29" s="115" t="s">
        <v>475</v>
      </c>
      <c r="E29" s="94"/>
      <c r="F29" s="96"/>
      <c r="G29" s="94">
        <f t="shared" si="0"/>
        <v>0</v>
      </c>
      <c r="H29" s="18" t="s">
        <v>322</v>
      </c>
    </row>
    <row r="30" spans="1:8" x14ac:dyDescent="0.3">
      <c r="A30" s="15" t="s">
        <v>496</v>
      </c>
      <c r="B30" s="16">
        <v>270</v>
      </c>
      <c r="C30" s="16">
        <v>3</v>
      </c>
      <c r="D30" s="115" t="s">
        <v>476</v>
      </c>
      <c r="E30" s="94"/>
      <c r="F30" s="96"/>
      <c r="G30" s="94">
        <f t="shared" si="0"/>
        <v>0</v>
      </c>
      <c r="H30" s="18" t="s">
        <v>322</v>
      </c>
    </row>
    <row r="31" spans="1:8" x14ac:dyDescent="0.3">
      <c r="A31" s="15" t="s">
        <v>493</v>
      </c>
      <c r="B31" s="16">
        <v>280</v>
      </c>
      <c r="C31" s="16">
        <v>3</v>
      </c>
      <c r="D31" s="115" t="s">
        <v>477</v>
      </c>
      <c r="E31" s="94"/>
      <c r="F31" s="96"/>
      <c r="G31" s="94">
        <f t="shared" si="0"/>
        <v>0</v>
      </c>
      <c r="H31" s="18" t="s">
        <v>322</v>
      </c>
    </row>
    <row r="32" spans="1:8" x14ac:dyDescent="0.3">
      <c r="A32" s="15"/>
      <c r="B32" s="16">
        <v>285</v>
      </c>
      <c r="C32" s="16">
        <v>3</v>
      </c>
      <c r="D32" s="115" t="s">
        <v>478</v>
      </c>
      <c r="E32" s="94"/>
      <c r="F32" s="96"/>
      <c r="G32" s="94">
        <f t="shared" si="0"/>
        <v>0</v>
      </c>
      <c r="H32" s="18" t="s">
        <v>322</v>
      </c>
    </row>
    <row r="33" spans="1:8" x14ac:dyDescent="0.3">
      <c r="A33" s="15" t="s">
        <v>496</v>
      </c>
      <c r="B33" s="16">
        <v>290</v>
      </c>
      <c r="C33" s="16">
        <v>3</v>
      </c>
      <c r="D33" s="115" t="s">
        <v>479</v>
      </c>
      <c r="E33" s="94"/>
      <c r="F33" s="96"/>
      <c r="G33" s="94">
        <f t="shared" si="0"/>
        <v>0</v>
      </c>
      <c r="H33" s="18" t="s">
        <v>322</v>
      </c>
    </row>
    <row r="34" spans="1:8" x14ac:dyDescent="0.3">
      <c r="A34" s="15"/>
      <c r="B34" s="16">
        <v>300</v>
      </c>
      <c r="C34" s="16">
        <v>3</v>
      </c>
      <c r="D34" s="115" t="s">
        <v>480</v>
      </c>
      <c r="E34" s="94"/>
      <c r="F34" s="96"/>
      <c r="G34" s="94">
        <f t="shared" si="0"/>
        <v>0</v>
      </c>
      <c r="H34" s="18" t="s">
        <v>322</v>
      </c>
    </row>
    <row r="35" spans="1:8" x14ac:dyDescent="0.3">
      <c r="A35" s="15"/>
      <c r="B35" s="16">
        <v>330</v>
      </c>
      <c r="C35" s="16">
        <v>3</v>
      </c>
      <c r="D35" s="115" t="s">
        <v>481</v>
      </c>
      <c r="E35" s="94"/>
      <c r="F35" s="96"/>
      <c r="G35" s="94">
        <f t="shared" si="0"/>
        <v>0</v>
      </c>
      <c r="H35" s="18" t="s">
        <v>322</v>
      </c>
    </row>
    <row r="36" spans="1:8" x14ac:dyDescent="0.3">
      <c r="A36" s="15"/>
      <c r="B36" s="16">
        <v>350</v>
      </c>
      <c r="C36" s="23">
        <v>3</v>
      </c>
      <c r="D36" s="16" t="s">
        <v>482</v>
      </c>
      <c r="E36" s="94"/>
      <c r="F36" s="96"/>
      <c r="G36" s="94">
        <f t="shared" si="0"/>
        <v>0</v>
      </c>
      <c r="H36" s="18" t="s">
        <v>322</v>
      </c>
    </row>
    <row r="37" spans="1:8" x14ac:dyDescent="0.3">
      <c r="A37" s="15"/>
      <c r="B37" s="16">
        <v>370</v>
      </c>
      <c r="C37" s="23">
        <v>3</v>
      </c>
      <c r="D37" s="16" t="s">
        <v>483</v>
      </c>
      <c r="E37" s="94"/>
      <c r="F37" s="96"/>
      <c r="G37" s="94">
        <f t="shared" si="0"/>
        <v>0</v>
      </c>
      <c r="H37" s="18" t="s">
        <v>322</v>
      </c>
    </row>
    <row r="38" spans="1:8" x14ac:dyDescent="0.3">
      <c r="A38" s="15"/>
      <c r="B38" s="16">
        <v>375</v>
      </c>
      <c r="C38" s="23">
        <v>3</v>
      </c>
      <c r="D38" s="16" t="s">
        <v>484</v>
      </c>
      <c r="E38" s="94"/>
      <c r="F38" s="96"/>
      <c r="G38" s="94">
        <f t="shared" si="0"/>
        <v>0</v>
      </c>
      <c r="H38" s="18" t="s">
        <v>322</v>
      </c>
    </row>
    <row r="39" spans="1:8" x14ac:dyDescent="0.3">
      <c r="A39" s="15"/>
      <c r="B39" s="16">
        <v>379</v>
      </c>
      <c r="C39" s="23">
        <v>3</v>
      </c>
      <c r="D39" s="16" t="s">
        <v>497</v>
      </c>
      <c r="E39" s="94"/>
      <c r="F39" s="96"/>
      <c r="G39" s="94">
        <f t="shared" si="0"/>
        <v>0</v>
      </c>
      <c r="H39" s="18" t="s">
        <v>322</v>
      </c>
    </row>
    <row r="40" spans="1:8" ht="15" thickBot="1" x14ac:dyDescent="0.35">
      <c r="A40" s="27"/>
      <c r="B40" s="40">
        <v>380</v>
      </c>
      <c r="C40" s="49">
        <v>3</v>
      </c>
      <c r="D40" s="40" t="s">
        <v>485</v>
      </c>
      <c r="E40" s="95"/>
      <c r="F40" s="97"/>
      <c r="G40" s="95">
        <f t="shared" si="0"/>
        <v>0</v>
      </c>
      <c r="H40" s="36" t="s">
        <v>322</v>
      </c>
    </row>
    <row r="41" spans="1:8" x14ac:dyDescent="0.3">
      <c r="A41" s="512"/>
      <c r="B41" s="512"/>
      <c r="C41" s="512"/>
      <c r="D41" s="512"/>
      <c r="E41" s="513"/>
      <c r="F41" s="512"/>
      <c r="G41" s="513"/>
      <c r="H41" s="512"/>
    </row>
    <row r="42" spans="1:8" x14ac:dyDescent="0.3">
      <c r="A42" s="512"/>
      <c r="B42" s="512"/>
      <c r="C42" s="512"/>
      <c r="D42" t="s">
        <v>941</v>
      </c>
      <c r="E42">
        <v>15</v>
      </c>
      <c r="F42" t="s">
        <v>937</v>
      </c>
      <c r="G42" s="513"/>
      <c r="H42" s="512"/>
    </row>
    <row r="43" spans="1:8" x14ac:dyDescent="0.3">
      <c r="A43" s="512"/>
      <c r="B43" s="512"/>
      <c r="C43" s="512"/>
      <c r="D43" t="s">
        <v>942</v>
      </c>
      <c r="E43">
        <f>E42-3.6</f>
        <v>11.4</v>
      </c>
      <c r="F43" t="s">
        <v>940</v>
      </c>
      <c r="G43" s="513"/>
      <c r="H43" s="512"/>
    </row>
    <row r="44" spans="1:8" x14ac:dyDescent="0.3">
      <c r="A44" s="512"/>
      <c r="B44" s="512"/>
      <c r="C44" s="512"/>
      <c r="D44" t="s">
        <v>936</v>
      </c>
      <c r="E44">
        <f>'Utslippsfaktorer Transport'!F37*'Utslippsfaktorer Transport'!E37/1000</f>
        <v>3.3063899999999999</v>
      </c>
      <c r="F44" t="s">
        <v>938</v>
      </c>
      <c r="G44" s="513"/>
      <c r="H44" s="512"/>
    </row>
    <row r="45" spans="1:8" x14ac:dyDescent="0.3">
      <c r="A45" s="512"/>
      <c r="B45" s="512"/>
      <c r="C45" s="512"/>
      <c r="D45" t="s">
        <v>943</v>
      </c>
      <c r="E45">
        <f>E44/E42</f>
        <v>0.22042599999999998</v>
      </c>
      <c r="G45" s="513"/>
      <c r="H45" s="512"/>
    </row>
    <row r="46" spans="1:8" x14ac:dyDescent="0.3">
      <c r="A46" s="512"/>
      <c r="B46" s="512"/>
      <c r="C46" s="512"/>
      <c r="D46" t="s">
        <v>939</v>
      </c>
      <c r="E46">
        <f>E44/E43</f>
        <v>0.29003421052631578</v>
      </c>
      <c r="G46" s="513"/>
      <c r="H46" s="512"/>
    </row>
    <row r="48" spans="1:8" x14ac:dyDescent="0.3">
      <c r="A48" s="1" t="s">
        <v>375</v>
      </c>
      <c r="B48" s="1"/>
      <c r="E48" s="1" t="s">
        <v>381</v>
      </c>
    </row>
  </sheetData>
  <hyperlinks>
    <hyperlink ref="A48" location="Innledning!A1" display="Tilbake til forside" xr:uid="{00000000-0004-0000-0F00-000000000000}"/>
    <hyperlink ref="E48" location="Sammendrag!A1" display="Sammendrag" xr:uid="{00000000-0004-0000-0F00-000001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Ark7"/>
  <dimension ref="A1:D23"/>
  <sheetViews>
    <sheetView workbookViewId="0"/>
  </sheetViews>
  <sheetFormatPr baseColWidth="10" defaultColWidth="11.5546875" defaultRowHeight="14.4" x14ac:dyDescent="0.3"/>
  <cols>
    <col min="1" max="1" width="22.33203125" bestFit="1" customWidth="1"/>
  </cols>
  <sheetData>
    <row r="1" spans="1:4" x14ac:dyDescent="0.3">
      <c r="A1" s="8" t="s">
        <v>195</v>
      </c>
    </row>
    <row r="2" spans="1:4" x14ac:dyDescent="0.3">
      <c r="A2" t="s">
        <v>196</v>
      </c>
    </row>
    <row r="3" spans="1:4" x14ac:dyDescent="0.3">
      <c r="A3" t="s">
        <v>197</v>
      </c>
    </row>
    <row r="5" spans="1:4" x14ac:dyDescent="0.3">
      <c r="A5" s="8" t="s">
        <v>246</v>
      </c>
    </row>
    <row r="6" spans="1:4" x14ac:dyDescent="0.3">
      <c r="A6" t="s">
        <v>239</v>
      </c>
    </row>
    <row r="7" spans="1:4" x14ac:dyDescent="0.3">
      <c r="A7" t="s">
        <v>249</v>
      </c>
    </row>
    <row r="8" spans="1:4" x14ac:dyDescent="0.3">
      <c r="A8" t="s">
        <v>250</v>
      </c>
    </row>
    <row r="9" spans="1:4" x14ac:dyDescent="0.3">
      <c r="A9" t="s">
        <v>251</v>
      </c>
    </row>
    <row r="11" spans="1:4" x14ac:dyDescent="0.3">
      <c r="A11" s="8" t="s">
        <v>264</v>
      </c>
    </row>
    <row r="12" spans="1:4" x14ac:dyDescent="0.3">
      <c r="A12" t="s">
        <v>265</v>
      </c>
    </row>
    <row r="13" spans="1:4" x14ac:dyDescent="0.3">
      <c r="A13" t="s">
        <v>13</v>
      </c>
    </row>
    <row r="14" spans="1:4" x14ac:dyDescent="0.3">
      <c r="A14" t="s">
        <v>266</v>
      </c>
    </row>
    <row r="16" spans="1:4" x14ac:dyDescent="0.3">
      <c r="A16" s="8" t="s">
        <v>406</v>
      </c>
      <c r="B16" s="8" t="s">
        <v>407</v>
      </c>
      <c r="C16" s="8" t="s">
        <v>408</v>
      </c>
      <c r="D16" s="8" t="s">
        <v>409</v>
      </c>
    </row>
    <row r="17" spans="1:4" x14ac:dyDescent="0.3">
      <c r="A17" t="s">
        <v>8</v>
      </c>
      <c r="B17" t="s">
        <v>3</v>
      </c>
      <c r="C17" t="s">
        <v>410</v>
      </c>
      <c r="D17" t="s">
        <v>411</v>
      </c>
    </row>
    <row r="18" spans="1:4" x14ac:dyDescent="0.3">
      <c r="A18" t="s">
        <v>411</v>
      </c>
      <c r="B18" t="s">
        <v>8</v>
      </c>
      <c r="C18" t="s">
        <v>3</v>
      </c>
      <c r="D18" t="s">
        <v>8</v>
      </c>
    </row>
    <row r="19" spans="1:4" x14ac:dyDescent="0.3">
      <c r="A19" t="s">
        <v>3</v>
      </c>
      <c r="B19" t="s">
        <v>411</v>
      </c>
      <c r="D19" t="s">
        <v>3</v>
      </c>
    </row>
    <row r="20" spans="1:4" x14ac:dyDescent="0.3">
      <c r="B20" t="s">
        <v>7</v>
      </c>
    </row>
    <row r="21" spans="1:4" x14ac:dyDescent="0.3">
      <c r="A21" t="s">
        <v>196</v>
      </c>
    </row>
    <row r="22" spans="1:4" x14ac:dyDescent="0.3">
      <c r="A22" t="s">
        <v>520</v>
      </c>
    </row>
    <row r="23" spans="1:4" x14ac:dyDescent="0.3">
      <c r="A23" t="s">
        <v>521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Ark4"/>
  <dimension ref="A2:G127"/>
  <sheetViews>
    <sheetView workbookViewId="0"/>
  </sheetViews>
  <sheetFormatPr baseColWidth="10" defaultColWidth="11.5546875" defaultRowHeight="14.4" x14ac:dyDescent="0.3"/>
  <cols>
    <col min="1" max="1" width="46.5546875" bestFit="1" customWidth="1"/>
  </cols>
  <sheetData>
    <row r="2" spans="1:6" x14ac:dyDescent="0.3">
      <c r="A2" t="s">
        <v>52</v>
      </c>
      <c r="B2" t="s">
        <v>56</v>
      </c>
      <c r="C2" t="s">
        <v>57</v>
      </c>
      <c r="D2" t="s">
        <v>58</v>
      </c>
      <c r="E2" t="s">
        <v>59</v>
      </c>
      <c r="F2" t="s">
        <v>60</v>
      </c>
    </row>
    <row r="3" spans="1:6" x14ac:dyDescent="0.3">
      <c r="A3" t="s">
        <v>53</v>
      </c>
      <c r="B3">
        <v>0.74</v>
      </c>
      <c r="C3">
        <v>69300</v>
      </c>
      <c r="D3">
        <v>3</v>
      </c>
      <c r="E3">
        <v>0.6</v>
      </c>
      <c r="F3">
        <v>44.3</v>
      </c>
    </row>
    <row r="4" spans="1:6" x14ac:dyDescent="0.3">
      <c r="A4" t="s">
        <v>54</v>
      </c>
      <c r="B4">
        <v>0.84</v>
      </c>
      <c r="C4">
        <v>74100</v>
      </c>
      <c r="D4">
        <v>3</v>
      </c>
      <c r="E4">
        <v>0.6</v>
      </c>
      <c r="F4">
        <v>43</v>
      </c>
    </row>
    <row r="5" spans="1:6" x14ac:dyDescent="0.3">
      <c r="A5" t="s">
        <v>55</v>
      </c>
      <c r="B5">
        <v>0.75</v>
      </c>
      <c r="C5">
        <v>56100</v>
      </c>
      <c r="D5">
        <v>10</v>
      </c>
      <c r="E5">
        <v>0.1</v>
      </c>
      <c r="F5">
        <v>48</v>
      </c>
    </row>
    <row r="6" spans="1:6" x14ac:dyDescent="0.3">
      <c r="B6" t="s">
        <v>61</v>
      </c>
    </row>
    <row r="8" spans="1:6" x14ac:dyDescent="0.3">
      <c r="A8" t="s">
        <v>62</v>
      </c>
    </row>
    <row r="9" spans="1:6" x14ac:dyDescent="0.3">
      <c r="A9" t="s">
        <v>63</v>
      </c>
    </row>
    <row r="10" spans="1:6" x14ac:dyDescent="0.3">
      <c r="A10" t="s">
        <v>64</v>
      </c>
    </row>
    <row r="12" spans="1:6" x14ac:dyDescent="0.3">
      <c r="A12" t="s">
        <v>65</v>
      </c>
      <c r="B12" t="s">
        <v>66</v>
      </c>
    </row>
    <row r="13" spans="1:6" x14ac:dyDescent="0.3">
      <c r="A13" t="s">
        <v>67</v>
      </c>
      <c r="E13" t="s">
        <v>178</v>
      </c>
    </row>
    <row r="15" spans="1:6" x14ac:dyDescent="0.3">
      <c r="A15" t="s">
        <v>68</v>
      </c>
    </row>
    <row r="16" spans="1:6" x14ac:dyDescent="0.3">
      <c r="A16" t="s">
        <v>69</v>
      </c>
    </row>
    <row r="17" spans="1:3" x14ac:dyDescent="0.3">
      <c r="A17" t="s">
        <v>70</v>
      </c>
      <c r="B17" t="s">
        <v>76</v>
      </c>
      <c r="C17">
        <v>0</v>
      </c>
    </row>
    <row r="18" spans="1:3" x14ac:dyDescent="0.3">
      <c r="A18" t="s">
        <v>70</v>
      </c>
      <c r="B18" t="s">
        <v>77</v>
      </c>
      <c r="C18">
        <v>0.3</v>
      </c>
    </row>
    <row r="19" spans="1:3" x14ac:dyDescent="0.3">
      <c r="A19" t="s">
        <v>71</v>
      </c>
      <c r="B19" t="s">
        <v>78</v>
      </c>
      <c r="C19">
        <v>0.8</v>
      </c>
    </row>
    <row r="20" spans="1:3" x14ac:dyDescent="0.3">
      <c r="A20" t="s">
        <v>72</v>
      </c>
      <c r="B20" t="s">
        <v>79</v>
      </c>
      <c r="C20">
        <v>0.8</v>
      </c>
    </row>
    <row r="21" spans="1:3" x14ac:dyDescent="0.3">
      <c r="A21" t="s">
        <v>73</v>
      </c>
      <c r="B21" t="s">
        <v>80</v>
      </c>
      <c r="C21">
        <v>0.2</v>
      </c>
    </row>
    <row r="22" spans="1:3" x14ac:dyDescent="0.3">
      <c r="A22" t="s">
        <v>74</v>
      </c>
      <c r="B22" t="s">
        <v>81</v>
      </c>
      <c r="C22">
        <v>0.8</v>
      </c>
    </row>
    <row r="23" spans="1:3" x14ac:dyDescent="0.3">
      <c r="A23" t="s">
        <v>75</v>
      </c>
      <c r="B23" t="s">
        <v>82</v>
      </c>
      <c r="C23">
        <v>0.5</v>
      </c>
    </row>
    <row r="25" spans="1:3" x14ac:dyDescent="0.3">
      <c r="A25" s="8" t="s">
        <v>83</v>
      </c>
      <c r="B25" t="s">
        <v>84</v>
      </c>
    </row>
    <row r="27" spans="1:3" x14ac:dyDescent="0.3">
      <c r="A27" s="8" t="s">
        <v>85</v>
      </c>
    </row>
    <row r="28" spans="1:3" x14ac:dyDescent="0.3">
      <c r="A28" t="s">
        <v>86</v>
      </c>
      <c r="B28" t="s">
        <v>170</v>
      </c>
    </row>
    <row r="30" spans="1:3" x14ac:dyDescent="0.3">
      <c r="A30" t="s">
        <v>87</v>
      </c>
    </row>
    <row r="31" spans="1:3" x14ac:dyDescent="0.3">
      <c r="A31" t="s">
        <v>88</v>
      </c>
    </row>
    <row r="33" spans="1:7" x14ac:dyDescent="0.3">
      <c r="A33" s="8" t="s">
        <v>89</v>
      </c>
    </row>
    <row r="34" spans="1:7" x14ac:dyDescent="0.3">
      <c r="A34" t="s">
        <v>90</v>
      </c>
    </row>
    <row r="36" spans="1:7" x14ac:dyDescent="0.3">
      <c r="A36" s="8" t="s">
        <v>91</v>
      </c>
    </row>
    <row r="37" spans="1:7" x14ac:dyDescent="0.3">
      <c r="A37" t="s">
        <v>92</v>
      </c>
    </row>
    <row r="39" spans="1:7" x14ac:dyDescent="0.3">
      <c r="A39" s="8" t="s">
        <v>93</v>
      </c>
    </row>
    <row r="40" spans="1:7" x14ac:dyDescent="0.3">
      <c r="A40" t="s">
        <v>94</v>
      </c>
      <c r="B40" t="s">
        <v>96</v>
      </c>
      <c r="G40" t="s">
        <v>97</v>
      </c>
    </row>
    <row r="41" spans="1:7" x14ac:dyDescent="0.3">
      <c r="A41" t="s">
        <v>95</v>
      </c>
    </row>
    <row r="43" spans="1:7" x14ac:dyDescent="0.3">
      <c r="A43" s="8" t="s">
        <v>98</v>
      </c>
    </row>
    <row r="44" spans="1:7" x14ac:dyDescent="0.3">
      <c r="A44" t="s">
        <v>99</v>
      </c>
      <c r="B44" s="10">
        <v>0.05</v>
      </c>
      <c r="C44" t="s">
        <v>102</v>
      </c>
    </row>
    <row r="45" spans="1:7" x14ac:dyDescent="0.3">
      <c r="A45" t="s">
        <v>100</v>
      </c>
      <c r="B45" s="10">
        <v>0.03</v>
      </c>
      <c r="C45" t="s">
        <v>101</v>
      </c>
    </row>
    <row r="46" spans="1:7" x14ac:dyDescent="0.3">
      <c r="A46" t="s">
        <v>103</v>
      </c>
      <c r="B46" s="10">
        <v>0</v>
      </c>
    </row>
    <row r="48" spans="1:7" x14ac:dyDescent="0.3">
      <c r="A48" s="8" t="s">
        <v>104</v>
      </c>
    </row>
    <row r="49" spans="1:2" x14ac:dyDescent="0.3">
      <c r="A49" t="s">
        <v>105</v>
      </c>
    </row>
    <row r="50" spans="1:2" x14ac:dyDescent="0.3">
      <c r="A50" t="s">
        <v>106</v>
      </c>
      <c r="B50" t="s">
        <v>111</v>
      </c>
    </row>
    <row r="52" spans="1:2" x14ac:dyDescent="0.3">
      <c r="A52" t="s">
        <v>107</v>
      </c>
      <c r="B52" s="10">
        <v>0.5</v>
      </c>
    </row>
    <row r="53" spans="1:2" x14ac:dyDescent="0.3">
      <c r="A53" t="s">
        <v>108</v>
      </c>
      <c r="B53" s="10">
        <v>0.51</v>
      </c>
    </row>
    <row r="54" spans="1:2" x14ac:dyDescent="0.3">
      <c r="A54" t="s">
        <v>109</v>
      </c>
      <c r="B54" s="10">
        <v>0.7</v>
      </c>
    </row>
    <row r="55" spans="1:2" x14ac:dyDescent="0.3">
      <c r="A55" t="s">
        <v>171</v>
      </c>
      <c r="B55" s="12">
        <v>2.5000000000000001E-2</v>
      </c>
    </row>
    <row r="56" spans="1:2" x14ac:dyDescent="0.3">
      <c r="A56" t="s">
        <v>110</v>
      </c>
      <c r="B56">
        <v>1.3</v>
      </c>
    </row>
    <row r="58" spans="1:2" x14ac:dyDescent="0.3">
      <c r="A58" s="8" t="s">
        <v>112</v>
      </c>
    </row>
    <row r="59" spans="1:2" x14ac:dyDescent="0.3">
      <c r="A59" t="s">
        <v>113</v>
      </c>
    </row>
    <row r="60" spans="1:2" x14ac:dyDescent="0.3">
      <c r="A60" t="s">
        <v>112</v>
      </c>
      <c r="B60" t="s">
        <v>114</v>
      </c>
    </row>
    <row r="62" spans="1:2" x14ac:dyDescent="0.3">
      <c r="A62" t="s">
        <v>115</v>
      </c>
      <c r="B62" s="10">
        <v>0.03</v>
      </c>
    </row>
    <row r="63" spans="1:2" x14ac:dyDescent="0.3">
      <c r="A63" t="s">
        <v>116</v>
      </c>
      <c r="B63">
        <v>1.5</v>
      </c>
    </row>
    <row r="64" spans="1:2" x14ac:dyDescent="0.3">
      <c r="A64" t="s">
        <v>117</v>
      </c>
      <c r="B64">
        <v>1.57</v>
      </c>
    </row>
    <row r="65" spans="1:2" x14ac:dyDescent="0.3">
      <c r="A65" t="s">
        <v>118</v>
      </c>
    </row>
    <row r="67" spans="1:2" x14ac:dyDescent="0.3">
      <c r="A67" s="8" t="s">
        <v>119</v>
      </c>
    </row>
    <row r="68" spans="1:2" x14ac:dyDescent="0.3">
      <c r="A68" t="s">
        <v>120</v>
      </c>
      <c r="B68" t="s">
        <v>121</v>
      </c>
    </row>
    <row r="69" spans="1:2" x14ac:dyDescent="0.3">
      <c r="A69" t="s">
        <v>122</v>
      </c>
      <c r="B69" t="s">
        <v>123</v>
      </c>
    </row>
    <row r="71" spans="1:2" x14ac:dyDescent="0.3">
      <c r="A71" t="s">
        <v>124</v>
      </c>
      <c r="B71" t="s">
        <v>125</v>
      </c>
    </row>
    <row r="72" spans="1:2" x14ac:dyDescent="0.3">
      <c r="A72" t="s">
        <v>126</v>
      </c>
      <c r="B72" s="10">
        <v>0.03</v>
      </c>
    </row>
    <row r="73" spans="1:2" x14ac:dyDescent="0.3">
      <c r="A73" t="s">
        <v>117</v>
      </c>
      <c r="B73">
        <v>1.57</v>
      </c>
    </row>
    <row r="74" spans="1:2" x14ac:dyDescent="0.3">
      <c r="A74" t="s">
        <v>127</v>
      </c>
    </row>
    <row r="76" spans="1:2" x14ac:dyDescent="0.3">
      <c r="A76" s="8" t="s">
        <v>128</v>
      </c>
    </row>
    <row r="77" spans="1:2" x14ac:dyDescent="0.3">
      <c r="A77" t="s">
        <v>129</v>
      </c>
    </row>
    <row r="78" spans="1:2" x14ac:dyDescent="0.3">
      <c r="A78" t="s">
        <v>124</v>
      </c>
      <c r="B78" t="s">
        <v>130</v>
      </c>
    </row>
    <row r="79" spans="1:2" x14ac:dyDescent="0.3">
      <c r="A79" t="s">
        <v>131</v>
      </c>
      <c r="B79" s="10">
        <v>0.03</v>
      </c>
    </row>
    <row r="80" spans="1:2" x14ac:dyDescent="0.3">
      <c r="A80" t="s">
        <v>132</v>
      </c>
      <c r="B80" s="10">
        <v>0.04</v>
      </c>
    </row>
    <row r="81" spans="1:2" x14ac:dyDescent="0.3">
      <c r="A81" t="s">
        <v>133</v>
      </c>
      <c r="B81" s="11">
        <v>2.3E-2</v>
      </c>
    </row>
    <row r="82" spans="1:2" x14ac:dyDescent="0.3">
      <c r="A82" t="s">
        <v>134</v>
      </c>
      <c r="B82" s="11">
        <v>5.0000000000000001E-3</v>
      </c>
    </row>
    <row r="84" spans="1:2" x14ac:dyDescent="0.3">
      <c r="A84" t="s">
        <v>127</v>
      </c>
    </row>
    <row r="86" spans="1:2" x14ac:dyDescent="0.3">
      <c r="A86" s="8" t="s">
        <v>136</v>
      </c>
    </row>
    <row r="87" spans="1:2" x14ac:dyDescent="0.3">
      <c r="A87" t="s">
        <v>137</v>
      </c>
      <c r="B87" t="s">
        <v>138</v>
      </c>
    </row>
    <row r="88" spans="1:2" x14ac:dyDescent="0.3">
      <c r="A88" t="s">
        <v>139</v>
      </c>
      <c r="B88" s="10">
        <v>0.56000000000000005</v>
      </c>
    </row>
    <row r="89" spans="1:2" x14ac:dyDescent="0.3">
      <c r="A89" t="s">
        <v>140</v>
      </c>
      <c r="B89" s="10">
        <v>0.51</v>
      </c>
    </row>
    <row r="90" spans="1:2" x14ac:dyDescent="0.3">
      <c r="A90" t="s">
        <v>141</v>
      </c>
      <c r="B90" s="10">
        <v>0.7</v>
      </c>
    </row>
    <row r="91" spans="1:2" x14ac:dyDescent="0.3">
      <c r="A91" t="s">
        <v>142</v>
      </c>
      <c r="B91" s="10">
        <v>0.9</v>
      </c>
    </row>
    <row r="92" spans="1:2" x14ac:dyDescent="0.3">
      <c r="A92" t="s">
        <v>110</v>
      </c>
      <c r="B92" s="9">
        <v>1.3</v>
      </c>
    </row>
    <row r="93" spans="1:2" x14ac:dyDescent="0.3">
      <c r="A93" t="s">
        <v>143</v>
      </c>
      <c r="B93" s="10">
        <v>0.5</v>
      </c>
    </row>
    <row r="94" spans="1:2" x14ac:dyDescent="0.3">
      <c r="A94" t="s">
        <v>144</v>
      </c>
      <c r="B94" s="10">
        <v>0.8</v>
      </c>
    </row>
    <row r="95" spans="1:2" x14ac:dyDescent="0.3">
      <c r="A95" t="s">
        <v>145</v>
      </c>
      <c r="B95" s="11">
        <v>0.69899999999999995</v>
      </c>
    </row>
    <row r="96" spans="1:2" x14ac:dyDescent="0.3">
      <c r="A96" t="s">
        <v>147</v>
      </c>
      <c r="B96">
        <v>1</v>
      </c>
    </row>
    <row r="97" spans="1:2" x14ac:dyDescent="0.3">
      <c r="A97" t="s">
        <v>146</v>
      </c>
      <c r="B97">
        <v>34</v>
      </c>
    </row>
    <row r="99" spans="1:2" x14ac:dyDescent="0.3">
      <c r="A99" t="s">
        <v>148</v>
      </c>
    </row>
    <row r="100" spans="1:2" x14ac:dyDescent="0.3">
      <c r="A100" t="s">
        <v>124</v>
      </c>
      <c r="B100" t="s">
        <v>149</v>
      </c>
    </row>
    <row r="101" spans="1:2" x14ac:dyDescent="0.3">
      <c r="A101" t="s">
        <v>131</v>
      </c>
      <c r="B101" s="10">
        <v>0.03</v>
      </c>
    </row>
    <row r="102" spans="1:2" x14ac:dyDescent="0.3">
      <c r="A102" t="s">
        <v>132</v>
      </c>
      <c r="B102" s="10">
        <v>0.04</v>
      </c>
    </row>
    <row r="103" spans="1:2" x14ac:dyDescent="0.3">
      <c r="A103" t="s">
        <v>150</v>
      </c>
      <c r="B103" s="12">
        <v>1.4999999999999999E-2</v>
      </c>
    </row>
    <row r="104" spans="1:2" x14ac:dyDescent="0.3">
      <c r="A104" t="s">
        <v>135</v>
      </c>
      <c r="B104">
        <v>1.57</v>
      </c>
    </row>
    <row r="106" spans="1:2" x14ac:dyDescent="0.3">
      <c r="A106" s="8" t="s">
        <v>151</v>
      </c>
    </row>
    <row r="107" spans="1:2" x14ac:dyDescent="0.3">
      <c r="A107" t="s">
        <v>152</v>
      </c>
      <c r="B107" t="s">
        <v>153</v>
      </c>
    </row>
    <row r="109" spans="1:2" x14ac:dyDescent="0.3">
      <c r="A109" s="8" t="s">
        <v>154</v>
      </c>
    </row>
    <row r="110" spans="1:2" x14ac:dyDescent="0.3">
      <c r="A110" t="s">
        <v>155</v>
      </c>
    </row>
    <row r="111" spans="1:2" x14ac:dyDescent="0.3">
      <c r="A111" t="s">
        <v>156</v>
      </c>
    </row>
    <row r="112" spans="1:2" x14ac:dyDescent="0.3">
      <c r="A112" t="s">
        <v>157</v>
      </c>
    </row>
    <row r="113" spans="1:2" x14ac:dyDescent="0.3">
      <c r="A113" t="s">
        <v>158</v>
      </c>
    </row>
    <row r="115" spans="1:2" x14ac:dyDescent="0.3">
      <c r="A115" t="s">
        <v>159</v>
      </c>
      <c r="B115" t="s">
        <v>160</v>
      </c>
    </row>
    <row r="116" spans="1:2" x14ac:dyDescent="0.3">
      <c r="A116" t="s">
        <v>161</v>
      </c>
      <c r="B116" t="s">
        <v>162</v>
      </c>
    </row>
    <row r="118" spans="1:2" x14ac:dyDescent="0.3">
      <c r="A118" t="s">
        <v>163</v>
      </c>
    </row>
    <row r="120" spans="1:2" x14ac:dyDescent="0.3">
      <c r="A120" s="8" t="s">
        <v>164</v>
      </c>
    </row>
    <row r="121" spans="1:2" x14ac:dyDescent="0.3">
      <c r="A121" t="s">
        <v>124</v>
      </c>
      <c r="B121" t="s">
        <v>220</v>
      </c>
    </row>
    <row r="122" spans="1:2" x14ac:dyDescent="0.3">
      <c r="A122" t="s">
        <v>165</v>
      </c>
      <c r="B122" t="s">
        <v>166</v>
      </c>
    </row>
    <row r="124" spans="1:2" x14ac:dyDescent="0.3">
      <c r="A124" s="8" t="s">
        <v>167</v>
      </c>
    </row>
    <row r="126" spans="1:2" x14ac:dyDescent="0.3">
      <c r="A126" t="s">
        <v>168</v>
      </c>
    </row>
    <row r="127" spans="1:2" x14ac:dyDescent="0.3">
      <c r="A127" t="s">
        <v>124</v>
      </c>
      <c r="B127" t="s">
        <v>169</v>
      </c>
    </row>
  </sheetData>
  <pageMargins left="0.7" right="0.7" top="0.75" bottom="0.75" header="0.3" footer="0.3"/>
  <pageSetup paperSize="9" orientation="portrait" horizontalDpi="4294967293"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Ark2"/>
  <dimension ref="A1:F344"/>
  <sheetViews>
    <sheetView workbookViewId="0"/>
  </sheetViews>
  <sheetFormatPr baseColWidth="10" defaultColWidth="11.5546875" defaultRowHeight="14.4" x14ac:dyDescent="0.3"/>
  <cols>
    <col min="1" max="1" width="11.88671875" customWidth="1"/>
    <col min="2" max="2" width="18" customWidth="1"/>
    <col min="3" max="3" width="12.33203125" customWidth="1"/>
    <col min="4" max="4" width="13.6640625" customWidth="1"/>
    <col min="5" max="5" width="11.109375" customWidth="1"/>
    <col min="6" max="6" width="23.88671875" customWidth="1"/>
  </cols>
  <sheetData>
    <row r="1" spans="1:6" x14ac:dyDescent="0.3">
      <c r="A1" s="2" t="s">
        <v>1</v>
      </c>
      <c r="B1" s="2" t="s">
        <v>2</v>
      </c>
      <c r="C1" s="2" t="s">
        <v>11</v>
      </c>
      <c r="D1" t="s">
        <v>10</v>
      </c>
      <c r="E1" t="s">
        <v>34</v>
      </c>
      <c r="F1" t="s">
        <v>261</v>
      </c>
    </row>
    <row r="2" spans="1:6" x14ac:dyDescent="0.3">
      <c r="A2" s="5" t="s">
        <v>3</v>
      </c>
      <c r="B2">
        <v>16</v>
      </c>
      <c r="C2">
        <v>6</v>
      </c>
      <c r="D2">
        <v>0.13</v>
      </c>
      <c r="E2">
        <v>2.3703419911563399</v>
      </c>
      <c r="F2" s="9">
        <v>0.30814445885032421</v>
      </c>
    </row>
    <row r="3" spans="1:6" x14ac:dyDescent="0.3">
      <c r="A3" s="5" t="s">
        <v>3</v>
      </c>
      <c r="B3">
        <v>20</v>
      </c>
      <c r="C3">
        <v>6</v>
      </c>
      <c r="D3">
        <v>0.18</v>
      </c>
      <c r="E3">
        <v>2.3703419911563399</v>
      </c>
      <c r="F3" s="9">
        <v>0.42666155840814118</v>
      </c>
    </row>
    <row r="4" spans="1:6" x14ac:dyDescent="0.3">
      <c r="A4" s="5" t="s">
        <v>3</v>
      </c>
      <c r="B4">
        <v>25</v>
      </c>
      <c r="C4">
        <v>6</v>
      </c>
      <c r="D4">
        <v>0.27</v>
      </c>
      <c r="E4">
        <v>2.3703419911563399</v>
      </c>
      <c r="F4" s="9">
        <v>0.63999233761221186</v>
      </c>
    </row>
    <row r="5" spans="1:6" x14ac:dyDescent="0.3">
      <c r="A5" s="5" t="s">
        <v>3</v>
      </c>
      <c r="B5">
        <v>32</v>
      </c>
      <c r="C5">
        <v>6</v>
      </c>
      <c r="D5">
        <v>0.45</v>
      </c>
      <c r="E5">
        <v>2.3703419911563399</v>
      </c>
      <c r="F5" s="9">
        <v>1.0666538960203531</v>
      </c>
    </row>
    <row r="6" spans="1:6" x14ac:dyDescent="0.3">
      <c r="A6" s="5" t="s">
        <v>3</v>
      </c>
      <c r="B6">
        <v>40</v>
      </c>
      <c r="C6">
        <v>6</v>
      </c>
      <c r="D6">
        <v>0.69</v>
      </c>
      <c r="E6">
        <v>2.3703419911563399</v>
      </c>
      <c r="F6" s="9">
        <v>1.6355359738978745</v>
      </c>
    </row>
    <row r="7" spans="1:6" x14ac:dyDescent="0.3">
      <c r="A7" s="5" t="s">
        <v>3</v>
      </c>
      <c r="B7">
        <v>50</v>
      </c>
      <c r="C7">
        <v>6</v>
      </c>
      <c r="D7">
        <v>1.07</v>
      </c>
      <c r="E7">
        <v>2.3703419911563399</v>
      </c>
      <c r="F7" s="9">
        <v>2.5362659305372839</v>
      </c>
    </row>
    <row r="8" spans="1:6" x14ac:dyDescent="0.3">
      <c r="A8" s="5" t="s">
        <v>3</v>
      </c>
      <c r="B8">
        <v>63</v>
      </c>
      <c r="C8">
        <v>6</v>
      </c>
      <c r="D8">
        <v>1.71</v>
      </c>
      <c r="E8">
        <v>2.3703419911563399</v>
      </c>
      <c r="F8" s="9">
        <v>4.0532848048773413</v>
      </c>
    </row>
    <row r="9" spans="1:6" x14ac:dyDescent="0.3">
      <c r="A9" s="5" t="s">
        <v>3</v>
      </c>
      <c r="B9">
        <v>75</v>
      </c>
      <c r="C9">
        <v>6</v>
      </c>
      <c r="D9">
        <v>2.42</v>
      </c>
      <c r="E9">
        <v>2.3703419911563399</v>
      </c>
      <c r="F9" s="9">
        <v>5.7362276185983427</v>
      </c>
    </row>
    <row r="10" spans="1:6" x14ac:dyDescent="0.3">
      <c r="A10" s="5" t="s">
        <v>3</v>
      </c>
      <c r="B10">
        <v>90</v>
      </c>
      <c r="C10">
        <v>6</v>
      </c>
      <c r="D10">
        <v>3.48</v>
      </c>
      <c r="E10">
        <v>2.3703419911563399</v>
      </c>
      <c r="F10" s="9">
        <v>8.2487901292240622</v>
      </c>
    </row>
    <row r="11" spans="1:6" x14ac:dyDescent="0.3">
      <c r="A11" s="5" t="s">
        <v>3</v>
      </c>
      <c r="B11" s="5">
        <v>100</v>
      </c>
      <c r="C11" s="5">
        <v>6</v>
      </c>
      <c r="D11" s="5">
        <v>5</v>
      </c>
      <c r="E11">
        <v>2.3703419911563399</v>
      </c>
      <c r="F11" s="5">
        <v>11.851709955781701</v>
      </c>
    </row>
    <row r="12" spans="1:6" x14ac:dyDescent="0.3">
      <c r="A12" s="5" t="s">
        <v>3</v>
      </c>
      <c r="B12" s="5">
        <v>125</v>
      </c>
      <c r="C12" s="5">
        <v>6</v>
      </c>
      <c r="D12" s="5">
        <v>6.7</v>
      </c>
      <c r="E12">
        <v>2.3703419911563435</v>
      </c>
      <c r="F12" s="5">
        <v>15.8812913407475</v>
      </c>
    </row>
    <row r="13" spans="1:6" x14ac:dyDescent="0.3">
      <c r="A13" s="5" t="s">
        <v>3</v>
      </c>
      <c r="B13" s="5">
        <v>150</v>
      </c>
      <c r="C13" s="5">
        <v>6</v>
      </c>
      <c r="D13" s="5">
        <v>9</v>
      </c>
      <c r="E13">
        <v>2.3703419911563444</v>
      </c>
      <c r="F13" s="5">
        <v>21.333077920407099</v>
      </c>
    </row>
    <row r="14" spans="1:6" x14ac:dyDescent="0.3">
      <c r="A14" s="5" t="s">
        <v>3</v>
      </c>
      <c r="B14" s="5">
        <v>200</v>
      </c>
      <c r="C14" s="5">
        <v>6</v>
      </c>
      <c r="D14" s="5">
        <v>17.12</v>
      </c>
      <c r="E14">
        <v>2.3703419911563492</v>
      </c>
      <c r="F14" s="5">
        <v>40.580254888596698</v>
      </c>
    </row>
    <row r="15" spans="1:6" x14ac:dyDescent="0.3">
      <c r="A15" s="5" t="s">
        <v>3</v>
      </c>
      <c r="B15" s="5">
        <v>225</v>
      </c>
      <c r="C15" s="5">
        <v>6</v>
      </c>
      <c r="D15" s="5">
        <v>21.69</v>
      </c>
      <c r="E15">
        <v>2.3703419911563439</v>
      </c>
      <c r="F15" s="5">
        <v>51.412717788181098</v>
      </c>
    </row>
    <row r="16" spans="1:6" x14ac:dyDescent="0.3">
      <c r="A16" s="5" t="s">
        <v>3</v>
      </c>
      <c r="B16" s="5">
        <v>250</v>
      </c>
      <c r="C16" s="5">
        <v>6</v>
      </c>
      <c r="D16" s="5">
        <v>26.74</v>
      </c>
      <c r="E16">
        <v>2.3703419911563426</v>
      </c>
      <c r="F16" s="5">
        <v>63.382944843520598</v>
      </c>
    </row>
    <row r="17" spans="1:6" x14ac:dyDescent="0.3">
      <c r="A17" s="5" t="s">
        <v>3</v>
      </c>
      <c r="B17" s="5">
        <v>300</v>
      </c>
      <c r="C17" s="5">
        <v>6</v>
      </c>
      <c r="D17" s="5">
        <v>38</v>
      </c>
      <c r="E17">
        <v>2.3703419911563368</v>
      </c>
      <c r="F17" s="5">
        <v>90.072995663940802</v>
      </c>
    </row>
    <row r="18" spans="1:6" x14ac:dyDescent="0.3">
      <c r="A18" s="5" t="s">
        <v>3</v>
      </c>
      <c r="B18" s="5">
        <v>350</v>
      </c>
      <c r="C18" s="5">
        <v>6</v>
      </c>
      <c r="D18" s="5">
        <v>53</v>
      </c>
      <c r="E18">
        <v>2.3703419911563586</v>
      </c>
      <c r="F18" s="5">
        <v>125.628125531287</v>
      </c>
    </row>
    <row r="19" spans="1:6" x14ac:dyDescent="0.3">
      <c r="A19" s="5" t="s">
        <v>3</v>
      </c>
      <c r="B19" s="5">
        <v>400</v>
      </c>
      <c r="C19" s="5">
        <v>6</v>
      </c>
      <c r="D19" s="5">
        <v>68.7</v>
      </c>
      <c r="E19">
        <v>2.3703419911563315</v>
      </c>
      <c r="F19" s="5">
        <v>162.84249479243999</v>
      </c>
    </row>
    <row r="20" spans="1:6" x14ac:dyDescent="0.3">
      <c r="A20" s="5" t="s">
        <v>3</v>
      </c>
      <c r="B20" s="5">
        <v>450</v>
      </c>
      <c r="C20" s="5">
        <v>6</v>
      </c>
      <c r="D20" s="5">
        <v>97.10799999999999</v>
      </c>
      <c r="E20">
        <v>2.3703419911563519</v>
      </c>
      <c r="F20" s="5">
        <v>230.17917007721101</v>
      </c>
    </row>
    <row r="21" spans="1:6" x14ac:dyDescent="0.3">
      <c r="A21" s="5" t="s">
        <v>3</v>
      </c>
      <c r="B21" s="5">
        <v>500</v>
      </c>
      <c r="C21" s="5">
        <v>6</v>
      </c>
      <c r="D21" s="5">
        <v>120.258</v>
      </c>
      <c r="E21">
        <v>2.3703419911563386</v>
      </c>
      <c r="F21" s="5">
        <v>285.05258717247898</v>
      </c>
    </row>
    <row r="22" spans="1:6" x14ac:dyDescent="0.3">
      <c r="A22" s="5" t="s">
        <v>3</v>
      </c>
      <c r="B22" s="5">
        <v>16</v>
      </c>
      <c r="C22" s="5">
        <v>7.4</v>
      </c>
      <c r="D22">
        <v>0.1</v>
      </c>
      <c r="E22">
        <v>2.3703419911563386</v>
      </c>
      <c r="F22" s="6">
        <v>0.23703419911563386</v>
      </c>
    </row>
    <row r="23" spans="1:6" x14ac:dyDescent="0.3">
      <c r="A23" s="5" t="s">
        <v>3</v>
      </c>
      <c r="B23" s="5">
        <v>20</v>
      </c>
      <c r="C23" s="5">
        <v>7.4</v>
      </c>
      <c r="D23">
        <v>0.16</v>
      </c>
      <c r="E23">
        <v>2.3703419911563386</v>
      </c>
      <c r="F23" s="6">
        <v>0.37925471858501419</v>
      </c>
    </row>
    <row r="24" spans="1:6" x14ac:dyDescent="0.3">
      <c r="A24" s="5" t="s">
        <v>3</v>
      </c>
      <c r="B24" s="5">
        <v>25</v>
      </c>
      <c r="C24" s="5">
        <v>7.4</v>
      </c>
      <c r="D24">
        <v>0.24</v>
      </c>
      <c r="E24">
        <v>2.3703419911563386</v>
      </c>
      <c r="F24" s="6">
        <v>0.56888207787752121</v>
      </c>
    </row>
    <row r="25" spans="1:6" x14ac:dyDescent="0.3">
      <c r="A25" s="5" t="s">
        <v>3</v>
      </c>
      <c r="B25" s="5">
        <v>32</v>
      </c>
      <c r="C25" s="5">
        <v>7.4</v>
      </c>
      <c r="D25">
        <v>0.38</v>
      </c>
      <c r="E25">
        <v>2.3703419911563386</v>
      </c>
      <c r="F25" s="6">
        <v>0.90072995663940869</v>
      </c>
    </row>
    <row r="26" spans="1:6" x14ac:dyDescent="0.3">
      <c r="A26" s="5" t="s">
        <v>3</v>
      </c>
      <c r="B26" s="5">
        <v>40</v>
      </c>
      <c r="C26" s="5">
        <v>7.4</v>
      </c>
      <c r="D26">
        <v>0.59</v>
      </c>
      <c r="E26">
        <v>2.3703419911563386</v>
      </c>
      <c r="F26" s="6">
        <v>1.3985017747822397</v>
      </c>
    </row>
    <row r="27" spans="1:6" x14ac:dyDescent="0.3">
      <c r="A27" s="5" t="s">
        <v>3</v>
      </c>
      <c r="B27" s="5">
        <v>50</v>
      </c>
      <c r="C27" s="5">
        <v>7.4</v>
      </c>
      <c r="D27">
        <v>0.92</v>
      </c>
      <c r="E27">
        <v>2.3703419911563386</v>
      </c>
      <c r="F27" s="6">
        <v>2.1807146318638315</v>
      </c>
    </row>
    <row r="28" spans="1:6" x14ac:dyDescent="0.3">
      <c r="A28" s="5" t="s">
        <v>3</v>
      </c>
      <c r="B28" s="5">
        <v>63</v>
      </c>
      <c r="C28" s="5">
        <v>7.4</v>
      </c>
      <c r="D28">
        <v>1.45</v>
      </c>
      <c r="E28">
        <v>2.3703419911563386</v>
      </c>
      <c r="F28" s="6">
        <v>3.4369958871766908</v>
      </c>
    </row>
    <row r="29" spans="1:6" x14ac:dyDescent="0.3">
      <c r="A29" s="5" t="s">
        <v>3</v>
      </c>
      <c r="B29" s="5">
        <v>75</v>
      </c>
      <c r="C29" s="5">
        <v>7.4</v>
      </c>
      <c r="D29">
        <v>2.06</v>
      </c>
      <c r="E29">
        <v>2.3703419911563386</v>
      </c>
      <c r="F29" s="6">
        <v>4.8829045017820576</v>
      </c>
    </row>
    <row r="30" spans="1:6" x14ac:dyDescent="0.3">
      <c r="A30" s="5" t="s">
        <v>3</v>
      </c>
      <c r="B30" s="5">
        <v>90</v>
      </c>
      <c r="C30" s="5">
        <v>7.4</v>
      </c>
      <c r="D30">
        <v>2.96</v>
      </c>
      <c r="E30">
        <v>2.3703419911563386</v>
      </c>
      <c r="F30" s="6">
        <v>7.016212293822762</v>
      </c>
    </row>
    <row r="31" spans="1:6" x14ac:dyDescent="0.3">
      <c r="A31" s="5" t="s">
        <v>3</v>
      </c>
      <c r="B31" s="5">
        <v>100</v>
      </c>
      <c r="C31" s="5">
        <v>7.4</v>
      </c>
      <c r="D31" s="5">
        <v>4</v>
      </c>
      <c r="E31">
        <v>2.370341991156335</v>
      </c>
      <c r="F31" s="5">
        <v>9.4813679646253402</v>
      </c>
    </row>
    <row r="32" spans="1:6" x14ac:dyDescent="0.3">
      <c r="A32" s="5" t="s">
        <v>3</v>
      </c>
      <c r="B32" s="5">
        <v>125</v>
      </c>
      <c r="C32" s="5">
        <v>7.4</v>
      </c>
      <c r="D32" s="5">
        <v>5.71</v>
      </c>
      <c r="E32">
        <v>2.3703419911563395</v>
      </c>
      <c r="F32" s="5">
        <v>13.534652769502699</v>
      </c>
    </row>
    <row r="33" spans="1:6" x14ac:dyDescent="0.3">
      <c r="A33" s="5" t="s">
        <v>3</v>
      </c>
      <c r="B33" s="5">
        <v>150</v>
      </c>
      <c r="C33" s="5">
        <v>7.4</v>
      </c>
      <c r="D33" s="5">
        <v>8</v>
      </c>
      <c r="E33">
        <v>2.3703419911563377</v>
      </c>
      <c r="F33" s="5">
        <v>18.962735929250702</v>
      </c>
    </row>
    <row r="34" spans="1:6" x14ac:dyDescent="0.3">
      <c r="A34" s="5" t="s">
        <v>3</v>
      </c>
      <c r="B34" s="5">
        <v>200</v>
      </c>
      <c r="C34" s="5">
        <v>7.4</v>
      </c>
      <c r="D34" s="5">
        <v>14.62</v>
      </c>
      <c r="E34">
        <v>2.3703419911563541</v>
      </c>
      <c r="F34" s="5">
        <v>34.654399910705898</v>
      </c>
    </row>
    <row r="35" spans="1:6" x14ac:dyDescent="0.3">
      <c r="A35" s="5" t="s">
        <v>3</v>
      </c>
      <c r="B35" s="5">
        <v>225</v>
      </c>
      <c r="C35" s="5">
        <v>7.4</v>
      </c>
      <c r="D35" s="5">
        <v>18.489999999999998</v>
      </c>
      <c r="E35">
        <v>2.3703419911563492</v>
      </c>
      <c r="F35" s="5">
        <v>43.827623416480897</v>
      </c>
    </row>
    <row r="36" spans="1:6" x14ac:dyDescent="0.3">
      <c r="A36" s="5" t="s">
        <v>3</v>
      </c>
      <c r="B36" s="5">
        <v>250</v>
      </c>
      <c r="C36" s="5">
        <v>7.4</v>
      </c>
      <c r="D36" s="5">
        <v>22.81</v>
      </c>
      <c r="E36">
        <v>2.3703419911563395</v>
      </c>
      <c r="F36" s="5">
        <v>54.067500818276102</v>
      </c>
    </row>
    <row r="37" spans="1:6" x14ac:dyDescent="0.3">
      <c r="A37" s="5" t="s">
        <v>3</v>
      </c>
      <c r="B37" s="5">
        <v>300</v>
      </c>
      <c r="C37" s="5">
        <v>7.4</v>
      </c>
      <c r="D37" s="5">
        <v>34</v>
      </c>
      <c r="E37">
        <v>2.3703419911563497</v>
      </c>
      <c r="F37" s="5">
        <v>80.591627699315893</v>
      </c>
    </row>
    <row r="38" spans="1:6" x14ac:dyDescent="0.3">
      <c r="A38" s="5" t="s">
        <v>3</v>
      </c>
      <c r="B38" s="5">
        <v>350</v>
      </c>
      <c r="C38" s="5">
        <v>7.4</v>
      </c>
      <c r="D38" s="5">
        <v>45</v>
      </c>
      <c r="E38">
        <v>2.3703419911563333</v>
      </c>
      <c r="F38" s="5">
        <v>106.66538960203501</v>
      </c>
    </row>
    <row r="39" spans="1:6" x14ac:dyDescent="0.3">
      <c r="A39" s="5" t="s">
        <v>3</v>
      </c>
      <c r="B39" s="5">
        <v>400</v>
      </c>
      <c r="C39" s="5">
        <v>7.4</v>
      </c>
      <c r="D39" s="5">
        <v>58.37</v>
      </c>
      <c r="E39">
        <v>2.3703419911563475</v>
      </c>
      <c r="F39" s="5">
        <v>138.356862023796</v>
      </c>
    </row>
    <row r="40" spans="1:6" x14ac:dyDescent="0.3">
      <c r="A40" s="5" t="s">
        <v>3</v>
      </c>
      <c r="B40" s="5">
        <v>450</v>
      </c>
      <c r="C40" s="5">
        <v>7.4</v>
      </c>
      <c r="D40" s="5">
        <v>73.84</v>
      </c>
      <c r="E40">
        <v>2.3703419911563381</v>
      </c>
      <c r="F40" s="5">
        <v>175.02605262698401</v>
      </c>
    </row>
    <row r="41" spans="1:6" x14ac:dyDescent="0.3">
      <c r="A41" s="5" t="s">
        <v>3</v>
      </c>
      <c r="B41" s="5">
        <v>500</v>
      </c>
      <c r="C41" s="5">
        <v>7.4</v>
      </c>
      <c r="D41" s="5">
        <v>85</v>
      </c>
      <c r="E41">
        <v>2.3703419911563528</v>
      </c>
      <c r="F41" s="5">
        <v>201.47906924828999</v>
      </c>
    </row>
    <row r="42" spans="1:6" x14ac:dyDescent="0.3">
      <c r="A42" s="5" t="s">
        <v>3</v>
      </c>
      <c r="B42" s="5">
        <v>16</v>
      </c>
      <c r="C42" s="5">
        <v>9</v>
      </c>
      <c r="D42">
        <v>0.09</v>
      </c>
      <c r="E42">
        <v>2.3703419911563528</v>
      </c>
      <c r="F42" s="9">
        <v>0.21333077920407176</v>
      </c>
    </row>
    <row r="43" spans="1:6" x14ac:dyDescent="0.3">
      <c r="A43" s="5" t="s">
        <v>3</v>
      </c>
      <c r="B43" s="5">
        <v>20</v>
      </c>
      <c r="C43" s="5">
        <v>9</v>
      </c>
      <c r="D43">
        <v>0.13</v>
      </c>
      <c r="E43">
        <v>2.3703419911563528</v>
      </c>
      <c r="F43" s="9">
        <v>0.30814445885032588</v>
      </c>
    </row>
    <row r="44" spans="1:6" x14ac:dyDescent="0.3">
      <c r="A44" s="5" t="s">
        <v>3</v>
      </c>
      <c r="B44" s="5">
        <v>25</v>
      </c>
      <c r="C44" s="5">
        <v>9</v>
      </c>
      <c r="D44">
        <v>0.21</v>
      </c>
      <c r="E44">
        <v>2.3703419911563528</v>
      </c>
      <c r="F44" s="9">
        <v>0.49777181814283405</v>
      </c>
    </row>
    <row r="45" spans="1:6" x14ac:dyDescent="0.3">
      <c r="A45" s="5" t="s">
        <v>3</v>
      </c>
      <c r="B45" s="5">
        <v>32</v>
      </c>
      <c r="C45" s="5">
        <v>9</v>
      </c>
      <c r="D45">
        <v>0.32</v>
      </c>
      <c r="E45">
        <v>2.3703419911563528</v>
      </c>
      <c r="F45" s="9">
        <v>0.75850943717003294</v>
      </c>
    </row>
    <row r="46" spans="1:6" x14ac:dyDescent="0.3">
      <c r="A46" s="5" t="s">
        <v>3</v>
      </c>
      <c r="B46" s="5">
        <v>40</v>
      </c>
      <c r="C46" s="5">
        <v>9</v>
      </c>
      <c r="D46">
        <v>0.5</v>
      </c>
      <c r="E46">
        <v>2.3703419911563528</v>
      </c>
      <c r="F46" s="9">
        <v>1.1851709955781764</v>
      </c>
    </row>
    <row r="47" spans="1:6" x14ac:dyDescent="0.3">
      <c r="A47" s="5" t="s">
        <v>3</v>
      </c>
      <c r="B47" s="5">
        <v>50</v>
      </c>
      <c r="C47" s="5">
        <v>9</v>
      </c>
      <c r="D47">
        <v>0.77</v>
      </c>
      <c r="E47">
        <v>2.3703419911563528</v>
      </c>
      <c r="F47" s="9">
        <v>1.8251633331903916</v>
      </c>
    </row>
    <row r="48" spans="1:6" x14ac:dyDescent="0.3">
      <c r="A48" s="5" t="s">
        <v>3</v>
      </c>
      <c r="B48" s="5">
        <v>63</v>
      </c>
      <c r="C48" s="5">
        <v>9</v>
      </c>
      <c r="D48">
        <v>1.23</v>
      </c>
      <c r="E48">
        <v>2.3703419911563528</v>
      </c>
      <c r="F48" s="9">
        <v>2.915520649122314</v>
      </c>
    </row>
    <row r="49" spans="1:6" x14ac:dyDescent="0.3">
      <c r="A49" s="5" t="s">
        <v>3</v>
      </c>
      <c r="B49" s="5">
        <v>75</v>
      </c>
      <c r="C49" s="5">
        <v>9</v>
      </c>
      <c r="D49">
        <v>1.73</v>
      </c>
      <c r="E49">
        <v>2.3703419911563528</v>
      </c>
      <c r="F49" s="9">
        <v>4.1006916447004906</v>
      </c>
    </row>
    <row r="50" spans="1:6" x14ac:dyDescent="0.3">
      <c r="A50" s="5" t="s">
        <v>3</v>
      </c>
      <c r="B50" s="5">
        <v>90</v>
      </c>
      <c r="C50" s="5">
        <v>9</v>
      </c>
      <c r="D50">
        <v>2.5</v>
      </c>
      <c r="E50">
        <v>2.3703419911563528</v>
      </c>
      <c r="F50" s="9">
        <v>5.9258549778908822</v>
      </c>
    </row>
    <row r="51" spans="1:6" x14ac:dyDescent="0.3">
      <c r="A51" s="5" t="s">
        <v>3</v>
      </c>
      <c r="B51" s="5">
        <v>100</v>
      </c>
      <c r="C51" s="5">
        <v>9</v>
      </c>
      <c r="D51" s="5">
        <v>3.72</v>
      </c>
      <c r="E51">
        <v>2.3703419911563275</v>
      </c>
      <c r="F51" s="5">
        <v>8.8176722071015394</v>
      </c>
    </row>
    <row r="52" spans="1:6" x14ac:dyDescent="0.3">
      <c r="A52" s="5" t="s">
        <v>3</v>
      </c>
      <c r="B52" s="5">
        <v>125</v>
      </c>
      <c r="C52" s="5">
        <v>9</v>
      </c>
      <c r="D52" s="5">
        <v>4.8099999999999996</v>
      </c>
      <c r="E52">
        <v>2.3703419911563408</v>
      </c>
      <c r="F52" s="5">
        <v>11.401344977461999</v>
      </c>
    </row>
    <row r="53" spans="1:6" x14ac:dyDescent="0.3">
      <c r="A53" s="5" t="s">
        <v>3</v>
      </c>
      <c r="B53" s="5">
        <v>150</v>
      </c>
      <c r="C53" s="5">
        <v>9</v>
      </c>
      <c r="D53" s="5">
        <v>7</v>
      </c>
      <c r="E53">
        <v>2.370341991156343</v>
      </c>
      <c r="F53" s="5">
        <v>16.5923939380944</v>
      </c>
    </row>
    <row r="54" spans="1:6" x14ac:dyDescent="0.3">
      <c r="A54" s="5" t="s">
        <v>3</v>
      </c>
      <c r="B54" s="5">
        <v>200</v>
      </c>
      <c r="C54" s="5">
        <v>9</v>
      </c>
      <c r="D54" s="5">
        <v>12.3</v>
      </c>
      <c r="E54">
        <v>2.3703419911563497</v>
      </c>
      <c r="F54" s="5">
        <v>29.155206491223101</v>
      </c>
    </row>
    <row r="55" spans="1:6" x14ac:dyDescent="0.3">
      <c r="A55" s="5" t="s">
        <v>3</v>
      </c>
      <c r="B55" s="5">
        <v>225</v>
      </c>
      <c r="C55" s="5">
        <v>9</v>
      </c>
      <c r="D55" s="5">
        <v>15.56</v>
      </c>
      <c r="E55">
        <v>2.3703419911563368</v>
      </c>
      <c r="F55" s="5">
        <v>36.882521382392603</v>
      </c>
    </row>
    <row r="56" spans="1:6" x14ac:dyDescent="0.3">
      <c r="A56" s="5" t="s">
        <v>3</v>
      </c>
      <c r="B56" s="5">
        <v>250</v>
      </c>
      <c r="C56" s="5">
        <v>9</v>
      </c>
      <c r="D56" s="5">
        <v>19.149999999999999</v>
      </c>
      <c r="E56">
        <v>2.3703419911563448</v>
      </c>
      <c r="F56" s="5">
        <v>45.392049130643997</v>
      </c>
    </row>
    <row r="57" spans="1:6" x14ac:dyDescent="0.3">
      <c r="A57" s="5" t="s">
        <v>3</v>
      </c>
      <c r="B57" s="5">
        <v>300</v>
      </c>
      <c r="C57" s="5">
        <v>9</v>
      </c>
      <c r="D57" s="5">
        <v>30</v>
      </c>
      <c r="E57">
        <v>2.3703419911563532</v>
      </c>
      <c r="F57" s="5">
        <v>71.110259734690601</v>
      </c>
    </row>
    <row r="58" spans="1:6" x14ac:dyDescent="0.3">
      <c r="A58" s="5" t="s">
        <v>3</v>
      </c>
      <c r="B58" s="5">
        <v>350</v>
      </c>
      <c r="C58" s="5">
        <v>9</v>
      </c>
      <c r="D58" s="5">
        <v>38</v>
      </c>
      <c r="E58">
        <v>2.3703419911563368</v>
      </c>
      <c r="F58" s="5">
        <v>90.072995663940802</v>
      </c>
    </row>
    <row r="59" spans="1:6" x14ac:dyDescent="0.3">
      <c r="A59" s="5" t="s">
        <v>3</v>
      </c>
      <c r="B59" s="5">
        <v>400</v>
      </c>
      <c r="C59" s="5">
        <v>9</v>
      </c>
      <c r="D59" s="5">
        <v>49.08</v>
      </c>
      <c r="E59">
        <v>2.3703419911563368</v>
      </c>
      <c r="F59" s="5">
        <v>116.336384925953</v>
      </c>
    </row>
    <row r="60" spans="1:6" x14ac:dyDescent="0.3">
      <c r="A60" s="5" t="s">
        <v>3</v>
      </c>
      <c r="B60" s="5">
        <v>450</v>
      </c>
      <c r="C60" s="5">
        <v>9</v>
      </c>
      <c r="D60" s="5">
        <v>62.13</v>
      </c>
      <c r="E60">
        <v>2.3703419911563497</v>
      </c>
      <c r="F60" s="5">
        <v>147.26934791054401</v>
      </c>
    </row>
    <row r="61" spans="1:6" x14ac:dyDescent="0.3">
      <c r="A61" s="5" t="s">
        <v>3</v>
      </c>
      <c r="B61" s="5">
        <v>500</v>
      </c>
      <c r="C61" s="5">
        <v>9</v>
      </c>
      <c r="D61" s="5">
        <v>76.599999999999994</v>
      </c>
      <c r="E61">
        <v>2.3703419911563448</v>
      </c>
      <c r="F61" s="5">
        <v>181.56819652257599</v>
      </c>
    </row>
    <row r="62" spans="1:6" x14ac:dyDescent="0.3">
      <c r="A62" s="5" t="s">
        <v>3</v>
      </c>
      <c r="B62" s="5">
        <v>20</v>
      </c>
      <c r="C62" s="5">
        <v>11</v>
      </c>
      <c r="D62" s="6">
        <v>0.12</v>
      </c>
      <c r="E62">
        <v>2.3703419911563448</v>
      </c>
      <c r="F62" s="6">
        <v>0.28444103893876138</v>
      </c>
    </row>
    <row r="63" spans="1:6" x14ac:dyDescent="0.3">
      <c r="A63" s="5" t="s">
        <v>3</v>
      </c>
      <c r="B63" s="5">
        <v>25</v>
      </c>
      <c r="C63" s="5">
        <v>11</v>
      </c>
      <c r="D63" s="6">
        <v>0.17</v>
      </c>
      <c r="E63">
        <v>2.3703419911563448</v>
      </c>
      <c r="F63" s="6">
        <v>0.40295813849657863</v>
      </c>
    </row>
    <row r="64" spans="1:6" x14ac:dyDescent="0.3">
      <c r="A64" s="5" t="s">
        <v>3</v>
      </c>
      <c r="B64" s="5">
        <v>32</v>
      </c>
      <c r="C64" s="5">
        <v>11</v>
      </c>
      <c r="D64" s="6">
        <v>0.27</v>
      </c>
      <c r="E64">
        <v>2.3703419911563448</v>
      </c>
      <c r="F64" s="6">
        <v>0.63999233761221319</v>
      </c>
    </row>
    <row r="65" spans="1:6" x14ac:dyDescent="0.3">
      <c r="A65" s="5" t="s">
        <v>3</v>
      </c>
      <c r="B65" s="5">
        <v>40</v>
      </c>
      <c r="C65" s="5">
        <v>11</v>
      </c>
      <c r="D65" s="6">
        <v>0.42</v>
      </c>
      <c r="E65">
        <v>2.3703419911563448</v>
      </c>
      <c r="F65" s="6">
        <v>0.99554363628566478</v>
      </c>
    </row>
    <row r="66" spans="1:6" x14ac:dyDescent="0.3">
      <c r="A66" s="5" t="s">
        <v>3</v>
      </c>
      <c r="B66" s="5">
        <v>50</v>
      </c>
      <c r="C66" s="5">
        <v>11</v>
      </c>
      <c r="D66" s="6">
        <v>0.65</v>
      </c>
      <c r="E66">
        <v>2.3703419911563448</v>
      </c>
      <c r="F66" s="6">
        <v>1.5407222942516241</v>
      </c>
    </row>
    <row r="67" spans="1:6" x14ac:dyDescent="0.3">
      <c r="A67" s="5" t="s">
        <v>3</v>
      </c>
      <c r="B67" s="5">
        <v>63</v>
      </c>
      <c r="C67" s="5">
        <v>11</v>
      </c>
      <c r="D67" s="6">
        <v>1.03</v>
      </c>
      <c r="E67">
        <v>2.3703419911563448</v>
      </c>
      <c r="F67" s="6">
        <v>2.441452250891035</v>
      </c>
    </row>
    <row r="68" spans="1:6" x14ac:dyDescent="0.3">
      <c r="A68" s="5" t="s">
        <v>3</v>
      </c>
      <c r="B68" s="5">
        <v>75</v>
      </c>
      <c r="C68" s="5">
        <v>11</v>
      </c>
      <c r="D68" s="6">
        <v>1.44</v>
      </c>
      <c r="E68">
        <v>2.3703419911563448</v>
      </c>
      <c r="F68" s="6">
        <v>3.4132924672651366</v>
      </c>
    </row>
    <row r="69" spans="1:6" x14ac:dyDescent="0.3">
      <c r="A69" s="5" t="s">
        <v>3</v>
      </c>
      <c r="B69" s="5">
        <v>90</v>
      </c>
      <c r="C69" s="5">
        <v>11</v>
      </c>
      <c r="D69" s="6">
        <v>2.08</v>
      </c>
      <c r="E69">
        <v>2.3703419911563448</v>
      </c>
      <c r="F69" s="6">
        <v>4.9303113416051971</v>
      </c>
    </row>
    <row r="70" spans="1:6" x14ac:dyDescent="0.3">
      <c r="A70" s="5" t="s">
        <v>3</v>
      </c>
      <c r="B70" s="5">
        <v>100</v>
      </c>
      <c r="C70" s="5">
        <v>11</v>
      </c>
      <c r="D70" s="5">
        <v>3.1</v>
      </c>
      <c r="E70">
        <v>2.3703419911563515</v>
      </c>
      <c r="F70" s="5">
        <v>7.3480601725846899</v>
      </c>
    </row>
    <row r="71" spans="1:6" x14ac:dyDescent="0.3">
      <c r="A71" s="5" t="s">
        <v>3</v>
      </c>
      <c r="B71" s="5">
        <v>125</v>
      </c>
      <c r="C71" s="5">
        <v>11</v>
      </c>
      <c r="D71" s="5">
        <v>4.01</v>
      </c>
      <c r="E71">
        <v>2.3703419911563519</v>
      </c>
      <c r="F71" s="5">
        <v>9.5050713845369703</v>
      </c>
    </row>
    <row r="72" spans="1:6" x14ac:dyDescent="0.3">
      <c r="A72" s="5" t="s">
        <v>3</v>
      </c>
      <c r="B72" s="5">
        <v>150</v>
      </c>
      <c r="C72" s="5">
        <v>11</v>
      </c>
      <c r="D72" s="5">
        <v>5.75</v>
      </c>
      <c r="E72">
        <v>2.3703419911563479</v>
      </c>
      <c r="F72" s="5">
        <v>13.629466449149</v>
      </c>
    </row>
    <row r="73" spans="1:6" x14ac:dyDescent="0.3">
      <c r="A73" s="5" t="s">
        <v>3</v>
      </c>
      <c r="B73" s="5">
        <v>200</v>
      </c>
      <c r="C73" s="5">
        <v>11</v>
      </c>
      <c r="D73" s="5">
        <v>10.23</v>
      </c>
      <c r="E73">
        <v>2.3703419911563439</v>
      </c>
      <c r="F73" s="5">
        <v>24.248598569529399</v>
      </c>
    </row>
    <row r="74" spans="1:6" x14ac:dyDescent="0.3">
      <c r="A74" s="5" t="s">
        <v>3</v>
      </c>
      <c r="B74" s="5">
        <v>225</v>
      </c>
      <c r="C74" s="5">
        <v>11</v>
      </c>
      <c r="D74" s="5">
        <v>12.96</v>
      </c>
      <c r="E74">
        <v>2.3703419911563426</v>
      </c>
      <c r="F74" s="5">
        <v>30.719632205386201</v>
      </c>
    </row>
    <row r="75" spans="1:6" x14ac:dyDescent="0.3">
      <c r="A75" s="5" t="s">
        <v>3</v>
      </c>
      <c r="B75" s="5">
        <v>250</v>
      </c>
      <c r="C75" s="5">
        <v>11</v>
      </c>
      <c r="D75" s="5">
        <v>16.95</v>
      </c>
      <c r="E75">
        <v>2.3703419911563479</v>
      </c>
      <c r="F75" s="5">
        <v>40.177296750100098</v>
      </c>
    </row>
    <row r="76" spans="1:6" x14ac:dyDescent="0.3">
      <c r="A76" s="5" t="s">
        <v>3</v>
      </c>
      <c r="B76" s="5">
        <v>300</v>
      </c>
      <c r="C76" s="5">
        <v>11</v>
      </c>
      <c r="D76" s="5">
        <v>24</v>
      </c>
      <c r="E76">
        <v>2.3703419911563417</v>
      </c>
      <c r="F76" s="5">
        <v>56.888207787752201</v>
      </c>
    </row>
    <row r="77" spans="1:6" x14ac:dyDescent="0.3">
      <c r="A77" s="5" t="s">
        <v>3</v>
      </c>
      <c r="B77" s="5">
        <v>350</v>
      </c>
      <c r="C77" s="5">
        <v>11</v>
      </c>
      <c r="D77" s="5">
        <v>32.130000000000003</v>
      </c>
      <c r="E77">
        <v>2.3703419911563488</v>
      </c>
      <c r="F77" s="5">
        <v>76.159088175853498</v>
      </c>
    </row>
    <row r="78" spans="1:6" x14ac:dyDescent="0.3">
      <c r="A78" s="5" t="s">
        <v>3</v>
      </c>
      <c r="B78" s="5">
        <v>400</v>
      </c>
      <c r="C78" s="5">
        <v>11</v>
      </c>
      <c r="D78" s="5">
        <v>40.799999999999997</v>
      </c>
      <c r="E78">
        <v>2.3703419911563408</v>
      </c>
      <c r="F78" s="5">
        <v>96.709953239178702</v>
      </c>
    </row>
    <row r="79" spans="1:6" x14ac:dyDescent="0.3">
      <c r="A79" s="5" t="s">
        <v>3</v>
      </c>
      <c r="B79" s="5">
        <v>450</v>
      </c>
      <c r="C79" s="5">
        <v>11</v>
      </c>
      <c r="D79" s="5">
        <v>51.71</v>
      </c>
      <c r="E79">
        <v>2.3703419911563333</v>
      </c>
      <c r="F79" s="5">
        <v>122.570384362694</v>
      </c>
    </row>
    <row r="80" spans="1:6" x14ac:dyDescent="0.3">
      <c r="A80" s="5" t="s">
        <v>3</v>
      </c>
      <c r="B80" s="5">
        <v>500</v>
      </c>
      <c r="C80" s="5">
        <v>11</v>
      </c>
      <c r="D80" s="5">
        <v>63.78</v>
      </c>
      <c r="E80">
        <v>2.3703419911563497</v>
      </c>
      <c r="F80" s="5">
        <v>151.18041219595199</v>
      </c>
    </row>
    <row r="81" spans="1:6" x14ac:dyDescent="0.3">
      <c r="A81" s="5" t="s">
        <v>3</v>
      </c>
      <c r="B81" s="5">
        <v>600</v>
      </c>
      <c r="C81" s="5">
        <v>11</v>
      </c>
      <c r="D81">
        <v>100</v>
      </c>
      <c r="E81">
        <v>2.3703419911563497</v>
      </c>
      <c r="F81" s="5">
        <v>237.03419911563498</v>
      </c>
    </row>
    <row r="82" spans="1:6" x14ac:dyDescent="0.3">
      <c r="A82" s="5" t="s">
        <v>3</v>
      </c>
      <c r="B82" s="5">
        <v>700</v>
      </c>
      <c r="C82" s="5">
        <v>11</v>
      </c>
      <c r="D82">
        <v>125</v>
      </c>
      <c r="E82">
        <v>2.3703419911563497</v>
      </c>
      <c r="F82" s="5">
        <v>296.29274889454371</v>
      </c>
    </row>
    <row r="83" spans="1:6" x14ac:dyDescent="0.3">
      <c r="A83" s="5" t="s">
        <v>3</v>
      </c>
      <c r="B83" s="5">
        <v>25</v>
      </c>
      <c r="C83" s="5">
        <v>13.6</v>
      </c>
      <c r="D83">
        <v>0.15</v>
      </c>
      <c r="E83">
        <v>2.3703419911563497</v>
      </c>
      <c r="F83" s="9">
        <v>0.35555129867345242</v>
      </c>
    </row>
    <row r="84" spans="1:6" x14ac:dyDescent="0.3">
      <c r="A84" s="5" t="s">
        <v>3</v>
      </c>
      <c r="B84" s="5">
        <v>32</v>
      </c>
      <c r="C84" s="5">
        <v>13.6</v>
      </c>
      <c r="D84">
        <v>0.22</v>
      </c>
      <c r="E84">
        <v>2.3703419911563497</v>
      </c>
      <c r="F84" s="9">
        <v>0.52147523805439688</v>
      </c>
    </row>
    <row r="85" spans="1:6" x14ac:dyDescent="0.3">
      <c r="A85" s="5" t="s">
        <v>3</v>
      </c>
      <c r="B85" s="5">
        <v>40</v>
      </c>
      <c r="C85" s="5">
        <v>13.6</v>
      </c>
      <c r="D85">
        <v>0.35</v>
      </c>
      <c r="E85">
        <v>2.3703419911563497</v>
      </c>
      <c r="F85" s="9">
        <v>0.82961969690472237</v>
      </c>
    </row>
    <row r="86" spans="1:6" x14ac:dyDescent="0.3">
      <c r="A86" s="5" t="s">
        <v>3</v>
      </c>
      <c r="B86" s="5">
        <v>50</v>
      </c>
      <c r="C86" s="5">
        <v>13.6</v>
      </c>
      <c r="D86">
        <v>0.53</v>
      </c>
      <c r="E86">
        <v>2.3703419911563497</v>
      </c>
      <c r="F86" s="9">
        <v>1.2562812553128655</v>
      </c>
    </row>
    <row r="87" spans="1:6" x14ac:dyDescent="0.3">
      <c r="A87" s="5" t="s">
        <v>3</v>
      </c>
      <c r="B87" s="5">
        <v>63</v>
      </c>
      <c r="C87" s="5">
        <v>13.6</v>
      </c>
      <c r="D87">
        <v>0.85</v>
      </c>
      <c r="E87">
        <v>2.3703419911563497</v>
      </c>
      <c r="F87" s="9">
        <v>2.0147906924828973</v>
      </c>
    </row>
    <row r="88" spans="1:6" x14ac:dyDescent="0.3">
      <c r="A88" s="5" t="s">
        <v>3</v>
      </c>
      <c r="B88" s="5">
        <v>75</v>
      </c>
      <c r="C88" s="5">
        <v>13.6</v>
      </c>
      <c r="D88">
        <v>1.21</v>
      </c>
      <c r="E88">
        <v>2.3703419911563497</v>
      </c>
      <c r="F88" s="9">
        <v>2.8681138092991829</v>
      </c>
    </row>
    <row r="89" spans="1:6" x14ac:dyDescent="0.3">
      <c r="A89" s="5" t="s">
        <v>3</v>
      </c>
      <c r="B89" s="5">
        <v>90</v>
      </c>
      <c r="C89" s="5">
        <v>13.6</v>
      </c>
      <c r="D89">
        <v>1.73</v>
      </c>
      <c r="E89">
        <v>2.3703419911563497</v>
      </c>
      <c r="F89" s="9">
        <v>4.1006916447004853</v>
      </c>
    </row>
    <row r="90" spans="1:6" x14ac:dyDescent="0.3">
      <c r="A90" s="5" t="s">
        <v>3</v>
      </c>
      <c r="B90" s="5">
        <v>100</v>
      </c>
      <c r="C90" s="5">
        <v>13.6</v>
      </c>
      <c r="D90" s="5">
        <v>2.56</v>
      </c>
      <c r="E90">
        <v>2.3703419911563439</v>
      </c>
      <c r="F90" s="5">
        <v>6.0680754973602404</v>
      </c>
    </row>
    <row r="91" spans="1:6" x14ac:dyDescent="0.3">
      <c r="A91" s="5" t="s">
        <v>3</v>
      </c>
      <c r="B91" s="5">
        <v>125</v>
      </c>
      <c r="C91" s="5">
        <v>13.6</v>
      </c>
      <c r="D91" s="5">
        <v>3.3</v>
      </c>
      <c r="E91">
        <v>2.3703419911563453</v>
      </c>
      <c r="F91" s="5">
        <v>7.8221285708159396</v>
      </c>
    </row>
    <row r="92" spans="1:6" x14ac:dyDescent="0.3">
      <c r="A92" s="5" t="s">
        <v>3</v>
      </c>
      <c r="B92" s="5">
        <v>150</v>
      </c>
      <c r="C92" s="5">
        <v>13.6</v>
      </c>
      <c r="D92" s="5">
        <v>4.8</v>
      </c>
      <c r="E92">
        <v>2.3703419911563546</v>
      </c>
      <c r="F92" s="5">
        <v>11.377641557550501</v>
      </c>
    </row>
    <row r="93" spans="1:6" x14ac:dyDescent="0.3">
      <c r="A93" s="5" t="s">
        <v>3</v>
      </c>
      <c r="B93" s="5">
        <v>200</v>
      </c>
      <c r="C93" s="5">
        <v>13.6</v>
      </c>
      <c r="D93" s="5">
        <v>8.42</v>
      </c>
      <c r="E93">
        <v>2.3703419911563302</v>
      </c>
      <c r="F93" s="5">
        <v>19.958279565536301</v>
      </c>
    </row>
    <row r="94" spans="1:6" x14ac:dyDescent="0.3">
      <c r="A94" s="5" t="s">
        <v>3</v>
      </c>
      <c r="B94" s="5">
        <v>225</v>
      </c>
      <c r="C94" s="5">
        <v>13.6</v>
      </c>
      <c r="D94" s="5">
        <v>10.7</v>
      </c>
      <c r="E94">
        <v>2.3703419911563461</v>
      </c>
      <c r="F94" s="5">
        <v>25.362659305372901</v>
      </c>
    </row>
    <row r="95" spans="1:6" x14ac:dyDescent="0.3">
      <c r="A95" s="5" t="s">
        <v>3</v>
      </c>
      <c r="B95" s="5">
        <v>250</v>
      </c>
      <c r="C95" s="5">
        <v>13.6</v>
      </c>
      <c r="D95" s="5">
        <v>13.17</v>
      </c>
      <c r="E95">
        <v>2.3703419911563399</v>
      </c>
      <c r="F95" s="5">
        <v>31.217404023528999</v>
      </c>
    </row>
    <row r="96" spans="1:6" x14ac:dyDescent="0.3">
      <c r="A96" s="5" t="s">
        <v>3</v>
      </c>
      <c r="B96" s="5">
        <v>300</v>
      </c>
      <c r="C96" s="5">
        <v>13.6</v>
      </c>
      <c r="D96" s="5">
        <v>20</v>
      </c>
      <c r="E96">
        <v>2.3703419911563399</v>
      </c>
      <c r="F96" s="5">
        <v>47.406839823126802</v>
      </c>
    </row>
    <row r="97" spans="1:6" x14ac:dyDescent="0.3">
      <c r="A97" s="5" t="s">
        <v>3</v>
      </c>
      <c r="B97" s="5">
        <v>350</v>
      </c>
      <c r="C97" s="5">
        <v>13.6</v>
      </c>
      <c r="D97" s="5">
        <v>26.53</v>
      </c>
      <c r="E97">
        <v>2.3703419911563439</v>
      </c>
      <c r="F97" s="5">
        <v>62.885173025377803</v>
      </c>
    </row>
    <row r="98" spans="1:6" x14ac:dyDescent="0.3">
      <c r="A98" s="5" t="s">
        <v>3</v>
      </c>
      <c r="B98" s="5">
        <v>400</v>
      </c>
      <c r="C98" s="5">
        <v>13.6</v>
      </c>
      <c r="D98" s="5">
        <v>33.68</v>
      </c>
      <c r="E98">
        <v>2.3703419911563333</v>
      </c>
      <c r="F98" s="5">
        <v>79.833118262145305</v>
      </c>
    </row>
    <row r="99" spans="1:6" x14ac:dyDescent="0.3">
      <c r="A99" s="5" t="s">
        <v>3</v>
      </c>
      <c r="B99" s="5">
        <v>450</v>
      </c>
      <c r="C99" s="5">
        <v>13.6</v>
      </c>
      <c r="D99" s="5">
        <v>42.65</v>
      </c>
      <c r="E99">
        <v>2.3703419911563426</v>
      </c>
      <c r="F99" s="5">
        <v>101.095085922818</v>
      </c>
    </row>
    <row r="100" spans="1:6" x14ac:dyDescent="0.3">
      <c r="A100" s="5" t="s">
        <v>3</v>
      </c>
      <c r="B100" s="5">
        <v>500</v>
      </c>
      <c r="C100" s="5">
        <v>13.6</v>
      </c>
      <c r="D100" s="5">
        <v>52.68</v>
      </c>
      <c r="E100">
        <v>2.3703419911563399</v>
      </c>
      <c r="F100" s="5">
        <v>124.869616094116</v>
      </c>
    </row>
    <row r="101" spans="1:6" x14ac:dyDescent="0.3">
      <c r="A101" s="5" t="s">
        <v>3</v>
      </c>
      <c r="B101" s="5">
        <v>600</v>
      </c>
      <c r="C101" s="5">
        <v>13.6</v>
      </c>
      <c r="D101" s="5">
        <v>83.52</v>
      </c>
      <c r="E101">
        <v>2.3703419911563399</v>
      </c>
      <c r="F101" s="5">
        <v>197.97096310137749</v>
      </c>
    </row>
    <row r="102" spans="1:6" x14ac:dyDescent="0.3">
      <c r="A102" s="5" t="s">
        <v>3</v>
      </c>
      <c r="B102" s="5">
        <v>700</v>
      </c>
      <c r="C102" s="5">
        <v>13.6</v>
      </c>
      <c r="D102" s="5">
        <v>106.11</v>
      </c>
      <c r="E102">
        <v>2.3703419911563399</v>
      </c>
      <c r="F102" s="5">
        <v>251.51698868159923</v>
      </c>
    </row>
    <row r="103" spans="1:6" x14ac:dyDescent="0.3">
      <c r="A103" s="5" t="s">
        <v>3</v>
      </c>
      <c r="B103" s="5">
        <v>800</v>
      </c>
      <c r="C103" s="5">
        <v>13.6</v>
      </c>
      <c r="D103" s="5">
        <v>134.69</v>
      </c>
      <c r="E103">
        <v>2.3703419911563399</v>
      </c>
      <c r="F103" s="5">
        <v>319.26136278884741</v>
      </c>
    </row>
    <row r="104" spans="1:6" x14ac:dyDescent="0.3">
      <c r="A104" s="5" t="s">
        <v>3</v>
      </c>
      <c r="B104" s="5">
        <v>900</v>
      </c>
      <c r="C104" s="5">
        <v>13.6</v>
      </c>
      <c r="D104" s="5">
        <v>170.58</v>
      </c>
      <c r="E104">
        <v>2.3703419911563399</v>
      </c>
      <c r="F104" s="5">
        <v>404.33293685144849</v>
      </c>
    </row>
    <row r="105" spans="1:6" x14ac:dyDescent="0.3">
      <c r="A105" s="5" t="s">
        <v>3</v>
      </c>
      <c r="B105" s="5">
        <v>1000</v>
      </c>
      <c r="C105" s="5">
        <v>13.6</v>
      </c>
      <c r="D105" s="5">
        <v>210.44</v>
      </c>
      <c r="E105">
        <v>2.3703419911563399</v>
      </c>
      <c r="F105" s="5">
        <v>498.81476861894015</v>
      </c>
    </row>
    <row r="106" spans="1:6" x14ac:dyDescent="0.3">
      <c r="A106" s="5" t="s">
        <v>3</v>
      </c>
      <c r="B106" s="5">
        <v>25</v>
      </c>
      <c r="C106" s="5">
        <v>17</v>
      </c>
      <c r="D106">
        <v>0.15</v>
      </c>
      <c r="E106">
        <v>2.3703419911563399</v>
      </c>
      <c r="F106" s="6">
        <v>0.35555129867345098</v>
      </c>
    </row>
    <row r="107" spans="1:6" x14ac:dyDescent="0.3">
      <c r="A107" s="5" t="s">
        <v>3</v>
      </c>
      <c r="B107" s="5">
        <v>32</v>
      </c>
      <c r="C107" s="5">
        <v>17</v>
      </c>
      <c r="D107">
        <v>0.19</v>
      </c>
      <c r="E107">
        <v>2.3703419911563399</v>
      </c>
      <c r="F107" s="6">
        <v>0.45036497831970457</v>
      </c>
    </row>
    <row r="108" spans="1:6" x14ac:dyDescent="0.3">
      <c r="A108" s="5" t="s">
        <v>3</v>
      </c>
      <c r="B108" s="5">
        <v>40</v>
      </c>
      <c r="C108" s="5">
        <v>17</v>
      </c>
      <c r="D108">
        <v>0.28000000000000003</v>
      </c>
      <c r="E108">
        <v>2.3703419911563399</v>
      </c>
      <c r="F108" s="5">
        <v>0.66369575752377519</v>
      </c>
    </row>
    <row r="109" spans="1:6" x14ac:dyDescent="0.3">
      <c r="A109" s="5" t="s">
        <v>3</v>
      </c>
      <c r="B109" s="5">
        <v>50</v>
      </c>
      <c r="C109" s="5">
        <v>17</v>
      </c>
      <c r="D109">
        <v>0.44</v>
      </c>
      <c r="E109">
        <v>2.3703419911563399</v>
      </c>
      <c r="F109" s="5">
        <v>1.0429504761087895</v>
      </c>
    </row>
    <row r="110" spans="1:6" x14ac:dyDescent="0.3">
      <c r="A110" s="5" t="s">
        <v>3</v>
      </c>
      <c r="B110" s="5">
        <v>63</v>
      </c>
      <c r="C110" s="5">
        <v>17</v>
      </c>
      <c r="D110">
        <v>0.7</v>
      </c>
      <c r="E110">
        <v>2.3703419911563399</v>
      </c>
      <c r="F110" s="5">
        <v>1.6592393938094379</v>
      </c>
    </row>
    <row r="111" spans="1:6" x14ac:dyDescent="0.3">
      <c r="A111" s="5" t="s">
        <v>3</v>
      </c>
      <c r="B111" s="5">
        <v>75</v>
      </c>
      <c r="C111" s="5">
        <v>17</v>
      </c>
      <c r="D111">
        <v>0.99</v>
      </c>
      <c r="E111">
        <v>2.3703419911563399</v>
      </c>
      <c r="F111" s="5">
        <v>2.3466385712447764</v>
      </c>
    </row>
    <row r="112" spans="1:6" x14ac:dyDescent="0.3">
      <c r="A112" s="5" t="s">
        <v>3</v>
      </c>
      <c r="B112" s="5">
        <v>90</v>
      </c>
      <c r="C112" s="5">
        <v>17</v>
      </c>
      <c r="D112">
        <v>1.42</v>
      </c>
      <c r="E112">
        <v>2.3703419911563399</v>
      </c>
      <c r="F112" s="5">
        <v>3.3658856274420024</v>
      </c>
    </row>
    <row r="113" spans="1:6" x14ac:dyDescent="0.3">
      <c r="A113" s="5" t="s">
        <v>3</v>
      </c>
      <c r="B113" s="5">
        <v>100</v>
      </c>
      <c r="C113" s="5">
        <v>17</v>
      </c>
      <c r="D113" s="5">
        <v>2.11</v>
      </c>
      <c r="E113">
        <v>2.3703419911563461</v>
      </c>
      <c r="F113" s="5">
        <v>5.0014216013398904</v>
      </c>
    </row>
    <row r="114" spans="1:6" x14ac:dyDescent="0.3">
      <c r="A114" s="5" t="s">
        <v>3</v>
      </c>
      <c r="B114" s="5">
        <v>125</v>
      </c>
      <c r="C114" s="5">
        <v>17</v>
      </c>
      <c r="D114" s="5">
        <v>2.69</v>
      </c>
      <c r="E114">
        <v>2.3703419911563492</v>
      </c>
      <c r="F114" s="5">
        <v>6.3762199562105799</v>
      </c>
    </row>
    <row r="115" spans="1:6" x14ac:dyDescent="0.3">
      <c r="A115" s="5" t="s">
        <v>3</v>
      </c>
      <c r="B115" s="5">
        <v>150</v>
      </c>
      <c r="C115" s="5">
        <v>17</v>
      </c>
      <c r="D115" s="5">
        <v>3.9</v>
      </c>
      <c r="E115">
        <v>2.370341991156331</v>
      </c>
      <c r="F115" s="5">
        <v>9.2443337655096904</v>
      </c>
    </row>
    <row r="116" spans="1:6" x14ac:dyDescent="0.3">
      <c r="A116" s="5" t="s">
        <v>3</v>
      </c>
      <c r="B116" s="5">
        <v>200</v>
      </c>
      <c r="C116" s="5">
        <v>17</v>
      </c>
      <c r="D116" s="5">
        <v>6.92</v>
      </c>
      <c r="E116">
        <v>2.3703419911563439</v>
      </c>
      <c r="F116" s="5">
        <v>16.402766578801899</v>
      </c>
    </row>
    <row r="117" spans="1:6" x14ac:dyDescent="0.3">
      <c r="A117" s="5" t="s">
        <v>3</v>
      </c>
      <c r="B117" s="5">
        <v>225</v>
      </c>
      <c r="C117" s="5">
        <v>17</v>
      </c>
      <c r="D117" s="5">
        <v>8.77</v>
      </c>
      <c r="E117">
        <v>2.3703419911563399</v>
      </c>
      <c r="F117" s="5">
        <v>20.787899262441101</v>
      </c>
    </row>
    <row r="118" spans="1:6" x14ac:dyDescent="0.3">
      <c r="A118" s="5" t="s">
        <v>3</v>
      </c>
      <c r="B118" s="5">
        <v>250</v>
      </c>
      <c r="C118" s="5">
        <v>17</v>
      </c>
      <c r="D118" s="5">
        <v>10.76</v>
      </c>
      <c r="E118">
        <v>2.3703419911563475</v>
      </c>
      <c r="F118" s="5">
        <v>25.504879824842298</v>
      </c>
    </row>
    <row r="119" spans="1:6" x14ac:dyDescent="0.3">
      <c r="A119" s="5" t="s">
        <v>3</v>
      </c>
      <c r="B119" s="5">
        <v>300</v>
      </c>
      <c r="C119" s="5">
        <v>17</v>
      </c>
      <c r="D119" s="5">
        <v>16</v>
      </c>
      <c r="E119">
        <v>2.3703419911563377</v>
      </c>
      <c r="F119" s="5">
        <v>37.925471858501403</v>
      </c>
    </row>
    <row r="120" spans="1:6" x14ac:dyDescent="0.3">
      <c r="A120" s="5" t="s">
        <v>3</v>
      </c>
      <c r="B120" s="5">
        <v>350</v>
      </c>
      <c r="C120" s="5">
        <v>17</v>
      </c>
      <c r="D120" s="5">
        <v>21.78</v>
      </c>
      <c r="E120">
        <v>2.3703419911563315</v>
      </c>
      <c r="F120" s="5">
        <v>51.626048567384899</v>
      </c>
    </row>
    <row r="121" spans="1:6" x14ac:dyDescent="0.3">
      <c r="A121" s="5" t="s">
        <v>3</v>
      </c>
      <c r="B121" s="5">
        <v>400</v>
      </c>
      <c r="C121" s="5">
        <v>17</v>
      </c>
      <c r="D121" s="5">
        <v>28.56</v>
      </c>
      <c r="E121">
        <v>2.3703419911563444</v>
      </c>
      <c r="F121" s="5">
        <v>67.696967267425194</v>
      </c>
    </row>
    <row r="122" spans="1:6" x14ac:dyDescent="0.3">
      <c r="A122" s="5" t="s">
        <v>3</v>
      </c>
      <c r="B122" s="5">
        <v>450</v>
      </c>
      <c r="C122" s="5">
        <v>17</v>
      </c>
      <c r="D122" s="5">
        <v>34.93</v>
      </c>
      <c r="E122">
        <v>2.3703419911563355</v>
      </c>
      <c r="F122" s="5">
        <v>82.796045751090801</v>
      </c>
    </row>
    <row r="123" spans="1:6" x14ac:dyDescent="0.3">
      <c r="A123" s="5" t="s">
        <v>3</v>
      </c>
      <c r="B123" s="5">
        <v>500</v>
      </c>
      <c r="C123" s="5">
        <v>17</v>
      </c>
      <c r="D123" s="5">
        <v>43.17</v>
      </c>
      <c r="E123">
        <v>2.3703419911563355</v>
      </c>
      <c r="F123" s="5">
        <v>102.327663758219</v>
      </c>
    </row>
    <row r="124" spans="1:6" x14ac:dyDescent="0.3">
      <c r="A124" s="5" t="s">
        <v>3</v>
      </c>
      <c r="B124" s="5">
        <v>600</v>
      </c>
      <c r="C124" s="5">
        <v>17</v>
      </c>
      <c r="D124">
        <v>65</v>
      </c>
      <c r="E124">
        <v>2.3703419911563399</v>
      </c>
      <c r="F124" s="5">
        <v>154.07222942516211</v>
      </c>
    </row>
    <row r="125" spans="1:6" x14ac:dyDescent="0.3">
      <c r="A125" s="5" t="s">
        <v>3</v>
      </c>
      <c r="B125" s="5">
        <v>700</v>
      </c>
      <c r="C125" s="5">
        <v>17</v>
      </c>
      <c r="D125">
        <v>86</v>
      </c>
      <c r="E125">
        <v>2.3703419911563399</v>
      </c>
      <c r="F125" s="5">
        <v>203.84941123944523</v>
      </c>
    </row>
    <row r="126" spans="1:6" x14ac:dyDescent="0.3">
      <c r="A126" s="5" t="s">
        <v>3</v>
      </c>
      <c r="B126" s="5">
        <v>800</v>
      </c>
      <c r="C126" s="5">
        <v>17</v>
      </c>
      <c r="D126" s="5">
        <v>110.24</v>
      </c>
      <c r="E126">
        <v>2.3703419911563399</v>
      </c>
      <c r="F126" s="5">
        <v>261.30650110507491</v>
      </c>
    </row>
    <row r="127" spans="1:6" x14ac:dyDescent="0.3">
      <c r="A127" s="5" t="s">
        <v>3</v>
      </c>
      <c r="B127" s="5">
        <v>900</v>
      </c>
      <c r="C127" s="5">
        <v>17</v>
      </c>
      <c r="D127" s="5">
        <v>139.46</v>
      </c>
      <c r="E127">
        <v>2.3703419911563399</v>
      </c>
      <c r="F127" s="5">
        <v>330.56789408666316</v>
      </c>
    </row>
    <row r="128" spans="1:6" x14ac:dyDescent="0.3">
      <c r="A128" s="5" t="s">
        <v>3</v>
      </c>
      <c r="B128" s="5">
        <v>1000</v>
      </c>
      <c r="C128" s="5">
        <v>17</v>
      </c>
      <c r="D128" s="5">
        <v>172.39</v>
      </c>
      <c r="E128">
        <v>2.3703419911563399</v>
      </c>
      <c r="F128" s="5">
        <v>408.62325585544141</v>
      </c>
    </row>
    <row r="129" spans="1:6" x14ac:dyDescent="0.3">
      <c r="A129" s="5" t="s">
        <v>3</v>
      </c>
      <c r="B129" s="5">
        <v>1200</v>
      </c>
      <c r="C129" s="5">
        <v>17</v>
      </c>
      <c r="D129" s="5">
        <v>246.41</v>
      </c>
      <c r="E129">
        <v>2.3703419911563399</v>
      </c>
      <c r="F129" s="5">
        <v>584.07597004083368</v>
      </c>
    </row>
    <row r="130" spans="1:6" x14ac:dyDescent="0.3">
      <c r="A130" s="5" t="s">
        <v>3</v>
      </c>
      <c r="B130" s="5">
        <v>1400</v>
      </c>
      <c r="C130" s="5">
        <v>17</v>
      </c>
      <c r="D130" s="5">
        <v>335.51</v>
      </c>
      <c r="E130">
        <v>2.3703419911563399</v>
      </c>
      <c r="F130" s="5">
        <v>795.27344145286361</v>
      </c>
    </row>
    <row r="131" spans="1:6" x14ac:dyDescent="0.3">
      <c r="A131" s="5" t="s">
        <v>3</v>
      </c>
      <c r="B131" s="5">
        <v>1600</v>
      </c>
      <c r="C131" s="5">
        <v>17</v>
      </c>
      <c r="D131" s="5">
        <v>437.91</v>
      </c>
      <c r="E131">
        <v>2.3703419911563399</v>
      </c>
      <c r="F131" s="5">
        <v>1037.9964613472728</v>
      </c>
    </row>
    <row r="132" spans="1:6" x14ac:dyDescent="0.3">
      <c r="A132" s="5" t="s">
        <v>3</v>
      </c>
      <c r="B132" s="5">
        <v>40</v>
      </c>
      <c r="C132" s="5">
        <v>21</v>
      </c>
      <c r="D132">
        <v>0.24</v>
      </c>
      <c r="E132">
        <v>2.3703419911563399</v>
      </c>
      <c r="F132" s="9">
        <v>0.56888207787752154</v>
      </c>
    </row>
    <row r="133" spans="1:6" x14ac:dyDescent="0.3">
      <c r="A133" s="5" t="s">
        <v>3</v>
      </c>
      <c r="B133" s="5">
        <v>50</v>
      </c>
      <c r="C133" s="5">
        <v>21</v>
      </c>
      <c r="D133">
        <v>0.36</v>
      </c>
      <c r="E133">
        <v>2.3703419911563399</v>
      </c>
      <c r="F133" s="9">
        <v>0.85332311681628237</v>
      </c>
    </row>
    <row r="134" spans="1:6" x14ac:dyDescent="0.3">
      <c r="A134" s="5" t="s">
        <v>3</v>
      </c>
      <c r="B134" s="5">
        <v>63</v>
      </c>
      <c r="C134" s="5">
        <v>21</v>
      </c>
      <c r="D134">
        <v>0.56000000000000005</v>
      </c>
      <c r="E134">
        <v>2.3703419911563399</v>
      </c>
      <c r="F134" s="9">
        <v>1.3273915150475504</v>
      </c>
    </row>
    <row r="135" spans="1:6" x14ac:dyDescent="0.3">
      <c r="A135" s="5" t="s">
        <v>3</v>
      </c>
      <c r="B135" s="5">
        <v>75</v>
      </c>
      <c r="C135" s="5">
        <v>21</v>
      </c>
      <c r="D135">
        <v>0.8</v>
      </c>
      <c r="E135">
        <v>2.3703419911563399</v>
      </c>
      <c r="F135" s="9">
        <v>1.896273592925072</v>
      </c>
    </row>
    <row r="136" spans="1:6" x14ac:dyDescent="0.3">
      <c r="A136" s="5" t="s">
        <v>3</v>
      </c>
      <c r="B136" s="5">
        <v>90</v>
      </c>
      <c r="C136" s="5">
        <v>21</v>
      </c>
      <c r="D136">
        <v>1.1399999999999999</v>
      </c>
      <c r="E136">
        <v>2.3703419911563399</v>
      </c>
      <c r="F136" s="9">
        <v>2.7021898699182274</v>
      </c>
    </row>
    <row r="137" spans="1:6" x14ac:dyDescent="0.3">
      <c r="A137" s="5" t="s">
        <v>3</v>
      </c>
      <c r="B137" s="5">
        <v>100</v>
      </c>
      <c r="C137" s="5">
        <v>21</v>
      </c>
      <c r="D137" s="5">
        <v>1.730127186</v>
      </c>
      <c r="E137">
        <v>2.3703419911563426</v>
      </c>
      <c r="F137" s="5">
        <v>4.1009931190169597</v>
      </c>
    </row>
    <row r="138" spans="1:6" x14ac:dyDescent="0.3">
      <c r="A138" s="5" t="s">
        <v>3</v>
      </c>
      <c r="B138" s="5">
        <v>125</v>
      </c>
      <c r="C138" s="5">
        <v>21</v>
      </c>
      <c r="D138" s="5">
        <v>2.21</v>
      </c>
      <c r="E138">
        <v>2.3703419911563439</v>
      </c>
      <c r="F138" s="5">
        <v>5.2384558004555197</v>
      </c>
    </row>
    <row r="139" spans="1:6" x14ac:dyDescent="0.3">
      <c r="A139" s="5" t="s">
        <v>3</v>
      </c>
      <c r="B139" s="5">
        <v>150</v>
      </c>
      <c r="C139" s="5">
        <v>21</v>
      </c>
      <c r="D139" s="5">
        <v>3.2</v>
      </c>
      <c r="E139">
        <v>2.3703419911563404</v>
      </c>
      <c r="F139" s="5">
        <v>7.5850943717002899</v>
      </c>
    </row>
    <row r="140" spans="1:6" x14ac:dyDescent="0.3">
      <c r="A140" s="5" t="s">
        <v>3</v>
      </c>
      <c r="B140" s="5">
        <v>200</v>
      </c>
      <c r="C140" s="5">
        <v>21</v>
      </c>
      <c r="D140" s="5">
        <v>5.65</v>
      </c>
      <c r="E140">
        <v>2.3703419911563537</v>
      </c>
      <c r="F140" s="5">
        <v>13.3924322500334</v>
      </c>
    </row>
    <row r="141" spans="1:6" x14ac:dyDescent="0.3">
      <c r="A141" s="5" t="s">
        <v>3</v>
      </c>
      <c r="B141" s="5">
        <v>225</v>
      </c>
      <c r="C141" s="5">
        <v>21</v>
      </c>
      <c r="D141" s="5">
        <v>7.15</v>
      </c>
      <c r="E141">
        <v>2.3703419911563497</v>
      </c>
      <c r="F141" s="5">
        <v>16.9479452367679</v>
      </c>
    </row>
    <row r="142" spans="1:6" x14ac:dyDescent="0.3">
      <c r="A142" s="5" t="s">
        <v>3</v>
      </c>
      <c r="B142" s="5">
        <v>250</v>
      </c>
      <c r="C142" s="5">
        <v>21</v>
      </c>
      <c r="D142" s="5">
        <v>8.76</v>
      </c>
      <c r="E142">
        <v>2.370341991156347</v>
      </c>
      <c r="F142" s="5">
        <v>20.764195842529599</v>
      </c>
    </row>
    <row r="143" spans="1:6" x14ac:dyDescent="0.3">
      <c r="A143" s="5" t="s">
        <v>3</v>
      </c>
      <c r="B143" s="5">
        <v>300</v>
      </c>
      <c r="C143" s="5">
        <v>21</v>
      </c>
      <c r="D143" s="5">
        <v>13.91</v>
      </c>
      <c r="E143">
        <v>2.3703419911563479</v>
      </c>
      <c r="F143" s="5">
        <v>32.9714570969848</v>
      </c>
    </row>
    <row r="144" spans="1:6" x14ac:dyDescent="0.3">
      <c r="A144" s="5" t="s">
        <v>3</v>
      </c>
      <c r="B144" s="5">
        <v>350</v>
      </c>
      <c r="C144" s="5">
        <v>21</v>
      </c>
      <c r="D144" s="5">
        <v>17.66</v>
      </c>
      <c r="E144">
        <v>2.3703419911563537</v>
      </c>
      <c r="F144" s="5">
        <v>41.860239563821203</v>
      </c>
    </row>
    <row r="145" spans="1:6" x14ac:dyDescent="0.3">
      <c r="A145" s="5" t="s">
        <v>3</v>
      </c>
      <c r="B145" s="5">
        <v>400</v>
      </c>
      <c r="C145" s="5">
        <v>21</v>
      </c>
      <c r="D145" s="5">
        <v>22.49</v>
      </c>
      <c r="E145">
        <v>2.3703419911563453</v>
      </c>
      <c r="F145" s="5">
        <v>53.308991381106203</v>
      </c>
    </row>
    <row r="146" spans="1:6" x14ac:dyDescent="0.3">
      <c r="A146" s="5" t="s">
        <v>3</v>
      </c>
      <c r="B146" s="5">
        <v>450</v>
      </c>
      <c r="C146" s="5">
        <v>21</v>
      </c>
      <c r="D146" s="5">
        <v>28.47</v>
      </c>
      <c r="E146">
        <v>2.370341991156347</v>
      </c>
      <c r="F146" s="5">
        <v>67.483636488221194</v>
      </c>
    </row>
    <row r="147" spans="1:6" x14ac:dyDescent="0.3">
      <c r="A147" s="5" t="s">
        <v>3</v>
      </c>
      <c r="B147" s="5">
        <v>500</v>
      </c>
      <c r="C147" s="5">
        <v>21</v>
      </c>
      <c r="D147" s="5">
        <v>35.17</v>
      </c>
      <c r="E147">
        <v>2.3703419911563492</v>
      </c>
      <c r="F147" s="5">
        <v>83.364927828968803</v>
      </c>
    </row>
    <row r="148" spans="1:6" x14ac:dyDescent="0.3">
      <c r="A148" s="5" t="s">
        <v>3</v>
      </c>
      <c r="B148" s="5">
        <v>600</v>
      </c>
      <c r="C148" s="5">
        <v>21</v>
      </c>
      <c r="D148" s="5">
        <v>50</v>
      </c>
      <c r="E148">
        <v>2.3703419911563399</v>
      </c>
      <c r="F148" s="5">
        <v>118.51709955781699</v>
      </c>
    </row>
    <row r="149" spans="1:6" x14ac:dyDescent="0.3">
      <c r="A149" s="5" t="s">
        <v>3</v>
      </c>
      <c r="B149" s="5">
        <v>700</v>
      </c>
      <c r="C149" s="5">
        <v>21</v>
      </c>
      <c r="D149" s="5">
        <v>69</v>
      </c>
      <c r="E149">
        <v>2.3703419911563399</v>
      </c>
      <c r="F149" s="5">
        <v>163.55359738978746</v>
      </c>
    </row>
    <row r="150" spans="1:6" x14ac:dyDescent="0.3">
      <c r="A150" s="5" t="s">
        <v>3</v>
      </c>
      <c r="B150" s="5">
        <v>800</v>
      </c>
      <c r="C150" s="5">
        <v>21</v>
      </c>
      <c r="D150" s="5">
        <v>89.71</v>
      </c>
      <c r="E150">
        <v>2.3703419911563399</v>
      </c>
      <c r="F150" s="5">
        <v>212.64338002663524</v>
      </c>
    </row>
    <row r="151" spans="1:6" x14ac:dyDescent="0.3">
      <c r="A151" s="5" t="s">
        <v>3</v>
      </c>
      <c r="B151" s="5">
        <v>900</v>
      </c>
      <c r="C151" s="5">
        <v>21</v>
      </c>
      <c r="D151" s="5">
        <v>113.63</v>
      </c>
      <c r="E151">
        <v>2.3703419911563399</v>
      </c>
      <c r="F151" s="5">
        <v>269.34196045509492</v>
      </c>
    </row>
    <row r="152" spans="1:6" x14ac:dyDescent="0.3">
      <c r="A152" s="5" t="s">
        <v>3</v>
      </c>
      <c r="B152" s="5">
        <v>1000</v>
      </c>
      <c r="C152" s="5">
        <v>21</v>
      </c>
      <c r="D152" s="5">
        <v>140.38</v>
      </c>
      <c r="E152">
        <v>2.3703419911563399</v>
      </c>
      <c r="F152" s="5">
        <v>332.74860871852701</v>
      </c>
    </row>
    <row r="153" spans="1:6" x14ac:dyDescent="0.3">
      <c r="A153" s="5" t="s">
        <v>3</v>
      </c>
      <c r="B153" s="5">
        <v>1200</v>
      </c>
      <c r="C153" s="5">
        <v>21</v>
      </c>
      <c r="D153" s="5">
        <v>202.01</v>
      </c>
      <c r="E153">
        <v>2.3703419911563399</v>
      </c>
      <c r="F153" s="5">
        <v>478.83278563349222</v>
      </c>
    </row>
    <row r="154" spans="1:6" x14ac:dyDescent="0.3">
      <c r="A154" s="5" t="s">
        <v>3</v>
      </c>
      <c r="B154" s="5">
        <v>1400</v>
      </c>
      <c r="C154" s="5">
        <v>21</v>
      </c>
      <c r="D154" s="5">
        <v>274.82</v>
      </c>
      <c r="E154">
        <v>2.3703419911563399</v>
      </c>
      <c r="F154" s="5">
        <v>651.41738600958536</v>
      </c>
    </row>
    <row r="155" spans="1:6" x14ac:dyDescent="0.3">
      <c r="A155" s="5" t="s">
        <v>3</v>
      </c>
      <c r="B155" s="5">
        <v>1600</v>
      </c>
      <c r="C155" s="5">
        <v>21</v>
      </c>
      <c r="D155" s="5">
        <v>358.82</v>
      </c>
      <c r="E155">
        <v>2.3703419911563399</v>
      </c>
      <c r="F155" s="5">
        <v>850.52611326671786</v>
      </c>
    </row>
    <row r="156" spans="1:6" x14ac:dyDescent="0.3">
      <c r="A156" s="5" t="s">
        <v>3</v>
      </c>
      <c r="B156" s="5">
        <v>50</v>
      </c>
      <c r="C156" s="5">
        <v>27.6</v>
      </c>
      <c r="D156">
        <v>0.3</v>
      </c>
      <c r="E156">
        <v>2.3703419911563399</v>
      </c>
      <c r="F156" s="5">
        <v>0.71110259734690195</v>
      </c>
    </row>
    <row r="157" spans="1:6" x14ac:dyDescent="0.3">
      <c r="A157" s="5" t="s">
        <v>3</v>
      </c>
      <c r="B157" s="5">
        <v>63</v>
      </c>
      <c r="C157" s="5">
        <v>27.6</v>
      </c>
      <c r="D157">
        <v>0.44</v>
      </c>
      <c r="E157">
        <v>2.3703419911563399</v>
      </c>
      <c r="F157" s="5">
        <v>1.0429504761087895</v>
      </c>
    </row>
    <row r="158" spans="1:6" x14ac:dyDescent="0.3">
      <c r="A158" s="5" t="s">
        <v>3</v>
      </c>
      <c r="B158" s="5">
        <v>75</v>
      </c>
      <c r="C158" s="5">
        <v>27.6</v>
      </c>
      <c r="D158">
        <v>0.65</v>
      </c>
      <c r="E158">
        <v>2.3703419911563399</v>
      </c>
      <c r="F158" s="5">
        <v>1.540722294251621</v>
      </c>
    </row>
    <row r="159" spans="1:6" x14ac:dyDescent="0.3">
      <c r="A159" s="5" t="s">
        <v>3</v>
      </c>
      <c r="B159" s="5">
        <v>90</v>
      </c>
      <c r="C159" s="5">
        <v>27.6</v>
      </c>
      <c r="D159">
        <v>0.89</v>
      </c>
      <c r="E159">
        <v>2.3703419911563399</v>
      </c>
      <c r="F159" s="5">
        <v>2.1096043721291426</v>
      </c>
    </row>
    <row r="160" spans="1:6" x14ac:dyDescent="0.3">
      <c r="A160" s="5" t="s">
        <v>3</v>
      </c>
      <c r="B160" s="5">
        <v>100</v>
      </c>
      <c r="C160" s="5">
        <v>27.6</v>
      </c>
      <c r="D160" s="5">
        <v>1.32</v>
      </c>
      <c r="E160">
        <v>2.3703419911563484</v>
      </c>
      <c r="F160" s="5">
        <v>3.1288514283263802</v>
      </c>
    </row>
    <row r="161" spans="1:6" x14ac:dyDescent="0.3">
      <c r="A161" s="5" t="s">
        <v>3</v>
      </c>
      <c r="B161" s="5">
        <v>125</v>
      </c>
      <c r="C161" s="5">
        <v>27.6</v>
      </c>
      <c r="D161" s="5">
        <v>1.68</v>
      </c>
      <c r="E161">
        <v>2.3703419911563453</v>
      </c>
      <c r="F161" s="5">
        <v>3.98217454514266</v>
      </c>
    </row>
    <row r="162" spans="1:6" x14ac:dyDescent="0.3">
      <c r="A162" s="5" t="s">
        <v>3</v>
      </c>
      <c r="B162" s="5">
        <v>150</v>
      </c>
      <c r="C162" s="5">
        <v>27.6</v>
      </c>
      <c r="D162" s="5">
        <v>2.5</v>
      </c>
      <c r="E162">
        <v>2.3703419911563399</v>
      </c>
      <c r="F162" s="5">
        <v>5.9258549778908503</v>
      </c>
    </row>
    <row r="163" spans="1:6" x14ac:dyDescent="0.3">
      <c r="A163" s="5" t="s">
        <v>3</v>
      </c>
      <c r="B163" s="5">
        <v>200</v>
      </c>
      <c r="C163" s="5">
        <v>27.6</v>
      </c>
      <c r="D163" s="5">
        <v>4.3499999999999996</v>
      </c>
      <c r="E163">
        <v>2.3703419911563453</v>
      </c>
      <c r="F163" s="5">
        <v>10.310987661530101</v>
      </c>
    </row>
    <row r="164" spans="1:6" x14ac:dyDescent="0.3">
      <c r="A164" s="5" t="s">
        <v>3</v>
      </c>
      <c r="B164" s="5">
        <v>225</v>
      </c>
      <c r="C164" s="5">
        <v>27.6</v>
      </c>
      <c r="D164" s="5">
        <v>5.5</v>
      </c>
      <c r="E164">
        <v>2.3703419911563639</v>
      </c>
      <c r="F164" s="5">
        <v>13.036880951360001</v>
      </c>
    </row>
    <row r="165" spans="1:6" x14ac:dyDescent="0.3">
      <c r="A165" s="5" t="s">
        <v>3</v>
      </c>
      <c r="B165" s="5">
        <v>250</v>
      </c>
      <c r="C165" s="5">
        <v>27.6</v>
      </c>
      <c r="D165" s="5">
        <v>6.78</v>
      </c>
      <c r="E165">
        <v>2.3703419911563421</v>
      </c>
      <c r="F165" s="5">
        <v>16.07091870004</v>
      </c>
    </row>
    <row r="166" spans="1:6" x14ac:dyDescent="0.3">
      <c r="A166" s="5" t="s">
        <v>3</v>
      </c>
      <c r="B166" s="5">
        <v>300</v>
      </c>
      <c r="C166" s="5">
        <v>27.6</v>
      </c>
      <c r="D166" s="5">
        <v>10.7</v>
      </c>
      <c r="E166">
        <v>2.3703419911563461</v>
      </c>
      <c r="F166" s="5">
        <v>25.362659305372901</v>
      </c>
    </row>
    <row r="167" spans="1:6" x14ac:dyDescent="0.3">
      <c r="A167" s="5" t="s">
        <v>3</v>
      </c>
      <c r="B167" s="5">
        <v>350</v>
      </c>
      <c r="C167" s="5">
        <v>27.6</v>
      </c>
      <c r="D167" s="5">
        <v>13.64</v>
      </c>
      <c r="E167">
        <v>2.3703419911563417</v>
      </c>
      <c r="F167" s="5">
        <v>32.331464759372501</v>
      </c>
    </row>
    <row r="168" spans="1:6" x14ac:dyDescent="0.3">
      <c r="A168" s="5" t="s">
        <v>3</v>
      </c>
      <c r="B168" s="5">
        <v>400</v>
      </c>
      <c r="C168" s="5">
        <v>27.6</v>
      </c>
      <c r="D168" s="5">
        <v>17.28</v>
      </c>
      <c r="E168">
        <v>2.3703419911563426</v>
      </c>
      <c r="F168" s="5">
        <v>40.959509607181602</v>
      </c>
    </row>
    <row r="169" spans="1:6" x14ac:dyDescent="0.3">
      <c r="A169" s="5" t="s">
        <v>3</v>
      </c>
      <c r="B169" s="5">
        <v>450</v>
      </c>
      <c r="C169" s="5">
        <v>27.6</v>
      </c>
      <c r="D169" s="5">
        <v>21.85</v>
      </c>
      <c r="E169">
        <v>2.3703419911563475</v>
      </c>
      <c r="F169" s="5">
        <v>51.7919725067662</v>
      </c>
    </row>
    <row r="170" spans="1:6" x14ac:dyDescent="0.3">
      <c r="A170" s="5" t="s">
        <v>3</v>
      </c>
      <c r="B170" s="5">
        <v>500</v>
      </c>
      <c r="C170" s="5">
        <v>27.6</v>
      </c>
      <c r="D170" s="5">
        <v>26.96</v>
      </c>
      <c r="E170">
        <v>2.3703419911563577</v>
      </c>
      <c r="F170" s="5">
        <v>63.904420081575402</v>
      </c>
    </row>
    <row r="171" spans="1:6" x14ac:dyDescent="0.3">
      <c r="A171" s="5" t="s">
        <v>3</v>
      </c>
      <c r="B171" s="5">
        <v>600</v>
      </c>
      <c r="C171" s="5">
        <v>27.6</v>
      </c>
      <c r="D171">
        <v>40</v>
      </c>
      <c r="E171">
        <v>2.3703419911563399</v>
      </c>
      <c r="F171" s="5">
        <v>94.813679646253604</v>
      </c>
    </row>
    <row r="172" spans="1:6" x14ac:dyDescent="0.3">
      <c r="A172" s="5" t="s">
        <v>3</v>
      </c>
      <c r="B172" s="5">
        <v>700</v>
      </c>
      <c r="C172" s="5">
        <v>27.6</v>
      </c>
      <c r="D172">
        <v>54</v>
      </c>
      <c r="E172">
        <v>2.3703419911563399</v>
      </c>
      <c r="F172" s="5">
        <v>127.99846752244235</v>
      </c>
    </row>
    <row r="173" spans="1:6" x14ac:dyDescent="0.3">
      <c r="A173" s="5" t="s">
        <v>3</v>
      </c>
      <c r="B173" s="5">
        <v>800</v>
      </c>
      <c r="C173" s="5">
        <v>27.6</v>
      </c>
      <c r="D173">
        <v>69.099999999999994</v>
      </c>
      <c r="E173">
        <v>2.3703419911563399</v>
      </c>
      <c r="F173" s="5">
        <v>163.79063158890307</v>
      </c>
    </row>
    <row r="174" spans="1:6" x14ac:dyDescent="0.3">
      <c r="A174" s="5" t="s">
        <v>3</v>
      </c>
      <c r="B174" s="5">
        <v>900</v>
      </c>
      <c r="C174" s="5">
        <v>27.6</v>
      </c>
      <c r="D174">
        <v>87.39</v>
      </c>
      <c r="E174">
        <v>2.3703419911563399</v>
      </c>
      <c r="F174" s="5">
        <v>207.14418660715253</v>
      </c>
    </row>
    <row r="175" spans="1:6" x14ac:dyDescent="0.3">
      <c r="A175" s="5" t="s">
        <v>3</v>
      </c>
      <c r="B175" s="5">
        <v>1000</v>
      </c>
      <c r="C175" s="5">
        <v>27.6</v>
      </c>
      <c r="D175">
        <v>107.82</v>
      </c>
      <c r="E175">
        <v>2.3703419911563399</v>
      </c>
      <c r="F175" s="5">
        <v>255.57027348647657</v>
      </c>
    </row>
    <row r="176" spans="1:6" x14ac:dyDescent="0.3">
      <c r="A176" s="5" t="s">
        <v>3</v>
      </c>
      <c r="B176" s="5">
        <v>1200</v>
      </c>
      <c r="C176" s="5">
        <v>27.6</v>
      </c>
      <c r="D176">
        <v>155.47</v>
      </c>
      <c r="E176">
        <v>2.3703419911563399</v>
      </c>
      <c r="F176" s="5">
        <v>368.51706936507617</v>
      </c>
    </row>
    <row r="177" spans="1:6" x14ac:dyDescent="0.3">
      <c r="A177" s="5" t="s">
        <v>3</v>
      </c>
      <c r="B177" s="5">
        <v>1400</v>
      </c>
      <c r="C177" s="5">
        <v>27.6</v>
      </c>
      <c r="D177">
        <v>211.41</v>
      </c>
      <c r="E177">
        <v>2.3703419911563399</v>
      </c>
      <c r="F177" s="5">
        <v>501.11400035036183</v>
      </c>
    </row>
    <row r="178" spans="1:6" x14ac:dyDescent="0.3">
      <c r="A178" s="5" t="s">
        <v>3</v>
      </c>
      <c r="B178" s="5">
        <v>1600</v>
      </c>
      <c r="C178" s="5">
        <v>27.6</v>
      </c>
      <c r="D178">
        <v>276.38</v>
      </c>
      <c r="E178">
        <v>2.3703419911563399</v>
      </c>
      <c r="F178" s="5">
        <v>655.11511951578916</v>
      </c>
    </row>
    <row r="179" spans="1:6" x14ac:dyDescent="0.3">
      <c r="A179" s="5" t="s">
        <v>3</v>
      </c>
      <c r="B179" s="5">
        <v>63</v>
      </c>
      <c r="C179" s="5">
        <v>33</v>
      </c>
      <c r="D179">
        <v>0.38</v>
      </c>
      <c r="E179">
        <v>2.3703419911563399</v>
      </c>
      <c r="F179" s="5">
        <v>0.90072995663940914</v>
      </c>
    </row>
    <row r="180" spans="1:6" x14ac:dyDescent="0.3">
      <c r="A180" s="5" t="s">
        <v>3</v>
      </c>
      <c r="B180" s="5">
        <v>75</v>
      </c>
      <c r="C180" s="5">
        <v>33</v>
      </c>
      <c r="D180">
        <v>0.52</v>
      </c>
      <c r="E180">
        <v>2.3703419911563399</v>
      </c>
      <c r="F180" s="5">
        <v>1.2325778354012968</v>
      </c>
    </row>
    <row r="181" spans="1:6" x14ac:dyDescent="0.3">
      <c r="A181" s="5" t="s">
        <v>3</v>
      </c>
      <c r="B181" s="5">
        <v>90</v>
      </c>
      <c r="C181" s="5">
        <v>33</v>
      </c>
      <c r="D181">
        <v>0.76</v>
      </c>
      <c r="E181">
        <v>2.3703419911563399</v>
      </c>
      <c r="F181" s="5">
        <v>1.8014599132788183</v>
      </c>
    </row>
    <row r="182" spans="1:6" x14ac:dyDescent="0.3">
      <c r="A182" s="5" t="s">
        <v>3</v>
      </c>
      <c r="B182" s="5">
        <v>100</v>
      </c>
      <c r="C182" s="5">
        <v>33</v>
      </c>
      <c r="D182" s="5">
        <v>1.1299999999999999</v>
      </c>
      <c r="E182">
        <v>2.3703419911563364</v>
      </c>
      <c r="F182" s="5">
        <v>2.6784864500066599</v>
      </c>
    </row>
    <row r="183" spans="1:6" x14ac:dyDescent="0.3">
      <c r="A183" s="5" t="s">
        <v>3</v>
      </c>
      <c r="B183" s="5">
        <v>125</v>
      </c>
      <c r="C183" s="5">
        <v>33</v>
      </c>
      <c r="D183" s="5">
        <v>1.46</v>
      </c>
      <c r="E183">
        <v>2.3703419911563426</v>
      </c>
      <c r="F183" s="5">
        <v>3.4606993070882601</v>
      </c>
    </row>
    <row r="184" spans="1:6" x14ac:dyDescent="0.3">
      <c r="A184" s="5" t="s">
        <v>3</v>
      </c>
      <c r="B184" s="5">
        <v>150</v>
      </c>
      <c r="C184" s="5">
        <v>33</v>
      </c>
      <c r="D184" s="5">
        <v>2</v>
      </c>
      <c r="E184">
        <v>2.370341991156335</v>
      </c>
      <c r="F184" s="5">
        <v>4.7406839823126701</v>
      </c>
    </row>
    <row r="185" spans="1:6" x14ac:dyDescent="0.3">
      <c r="A185" s="5" t="s">
        <v>3</v>
      </c>
      <c r="B185" s="5">
        <v>200</v>
      </c>
      <c r="C185" s="5">
        <v>33</v>
      </c>
      <c r="D185" s="5">
        <v>3.72</v>
      </c>
      <c r="E185">
        <v>2.3703419911563275</v>
      </c>
      <c r="F185" s="5">
        <v>8.8176722071015394</v>
      </c>
    </row>
    <row r="186" spans="1:6" x14ac:dyDescent="0.3">
      <c r="A186" s="5" t="s">
        <v>3</v>
      </c>
      <c r="B186" s="5">
        <v>225</v>
      </c>
      <c r="C186" s="5">
        <v>33</v>
      </c>
      <c r="D186" s="5">
        <v>4.66</v>
      </c>
      <c r="E186">
        <v>2.3703419911563519</v>
      </c>
      <c r="F186" s="5">
        <v>11.0457936787886</v>
      </c>
    </row>
    <row r="187" spans="1:6" x14ac:dyDescent="0.3">
      <c r="A187" s="5" t="s">
        <v>3</v>
      </c>
      <c r="B187" s="5">
        <v>250</v>
      </c>
      <c r="C187" s="5">
        <v>33</v>
      </c>
      <c r="D187" s="5">
        <v>5.77</v>
      </c>
      <c r="E187">
        <v>2.3703419911563435</v>
      </c>
      <c r="F187" s="5">
        <v>13.6768732889721</v>
      </c>
    </row>
    <row r="188" spans="1:6" x14ac:dyDescent="0.3">
      <c r="A188" s="5" t="s">
        <v>3</v>
      </c>
      <c r="B188" s="5">
        <v>300</v>
      </c>
      <c r="C188" s="5">
        <v>33</v>
      </c>
      <c r="D188" s="5">
        <v>9.16</v>
      </c>
      <c r="E188">
        <v>2.3703419911563537</v>
      </c>
      <c r="F188" s="5">
        <v>21.712332638992201</v>
      </c>
    </row>
    <row r="189" spans="1:6" x14ac:dyDescent="0.3">
      <c r="A189" s="5" t="s">
        <v>3</v>
      </c>
      <c r="B189" s="5">
        <v>350</v>
      </c>
      <c r="C189" s="5">
        <v>33</v>
      </c>
      <c r="D189" s="5">
        <v>11.6</v>
      </c>
      <c r="E189">
        <v>2.3703419911563448</v>
      </c>
      <c r="F189" s="5">
        <v>27.495967097413601</v>
      </c>
    </row>
    <row r="190" spans="1:6" x14ac:dyDescent="0.3">
      <c r="A190" s="5" t="s">
        <v>3</v>
      </c>
      <c r="B190" s="5">
        <v>400</v>
      </c>
      <c r="C190" s="5">
        <v>33</v>
      </c>
      <c r="D190" s="5">
        <v>14.74</v>
      </c>
      <c r="E190">
        <v>2.3703419911563501</v>
      </c>
      <c r="F190" s="5">
        <v>34.9388409496446</v>
      </c>
    </row>
    <row r="191" spans="1:6" x14ac:dyDescent="0.3">
      <c r="A191" s="5" t="s">
        <v>3</v>
      </c>
      <c r="B191" s="5">
        <v>450</v>
      </c>
      <c r="C191" s="5">
        <v>33</v>
      </c>
      <c r="D191" s="5">
        <v>18.61</v>
      </c>
      <c r="E191">
        <v>2.3703419911563408</v>
      </c>
      <c r="F191" s="5">
        <v>44.1120644554195</v>
      </c>
    </row>
    <row r="192" spans="1:6" x14ac:dyDescent="0.3">
      <c r="A192" s="5" t="s">
        <v>3</v>
      </c>
      <c r="B192" s="5">
        <v>500</v>
      </c>
      <c r="C192" s="5">
        <v>33</v>
      </c>
      <c r="D192" s="5">
        <v>22.92</v>
      </c>
      <c r="E192">
        <v>2.3703419911563435</v>
      </c>
      <c r="F192" s="5">
        <v>54.328238437303398</v>
      </c>
    </row>
    <row r="193" spans="1:6" x14ac:dyDescent="0.3">
      <c r="A193" s="5" t="s">
        <v>3</v>
      </c>
      <c r="B193" s="5">
        <v>600</v>
      </c>
      <c r="C193" s="5">
        <v>33</v>
      </c>
      <c r="D193">
        <v>35</v>
      </c>
      <c r="E193">
        <v>2.3703419911563399</v>
      </c>
      <c r="F193" s="5">
        <v>82.961969690471904</v>
      </c>
    </row>
    <row r="194" spans="1:6" x14ac:dyDescent="0.3">
      <c r="A194" s="5" t="s">
        <v>3</v>
      </c>
      <c r="B194" s="5">
        <v>700</v>
      </c>
      <c r="C194" s="5">
        <v>33</v>
      </c>
      <c r="D194">
        <v>46.37</v>
      </c>
      <c r="E194">
        <v>2.3703419911563399</v>
      </c>
      <c r="F194" s="5">
        <v>109.91275812991948</v>
      </c>
    </row>
    <row r="195" spans="1:6" x14ac:dyDescent="0.3">
      <c r="A195" s="5" t="s">
        <v>3</v>
      </c>
      <c r="B195" s="5">
        <v>800</v>
      </c>
      <c r="C195" s="5">
        <v>33</v>
      </c>
      <c r="D195">
        <v>58.72</v>
      </c>
      <c r="E195">
        <v>2.3703419911563399</v>
      </c>
      <c r="F195" s="5">
        <v>139.18648172070027</v>
      </c>
    </row>
    <row r="196" spans="1:6" x14ac:dyDescent="0.3">
      <c r="A196" s="5" t="s">
        <v>3</v>
      </c>
      <c r="B196" s="5">
        <v>900</v>
      </c>
      <c r="C196" s="5">
        <v>33</v>
      </c>
      <c r="D196">
        <v>74.41</v>
      </c>
      <c r="E196">
        <v>2.3703419911563399</v>
      </c>
      <c r="F196" s="5">
        <v>176.37714756194325</v>
      </c>
    </row>
    <row r="197" spans="1:6" x14ac:dyDescent="0.3">
      <c r="A197" s="5" t="s">
        <v>3</v>
      </c>
      <c r="B197" s="5">
        <v>1000</v>
      </c>
      <c r="C197" s="5">
        <v>33</v>
      </c>
      <c r="D197">
        <v>91.67</v>
      </c>
      <c r="E197">
        <v>2.3703419911563399</v>
      </c>
      <c r="F197" s="5">
        <v>217.28925032930169</v>
      </c>
    </row>
    <row r="198" spans="1:6" x14ac:dyDescent="0.3">
      <c r="A198" s="5" t="s">
        <v>3</v>
      </c>
      <c r="B198" s="5">
        <v>1200</v>
      </c>
      <c r="C198" s="5">
        <v>33</v>
      </c>
      <c r="D198">
        <v>131.94</v>
      </c>
      <c r="E198">
        <v>2.3703419911563399</v>
      </c>
      <c r="F198" s="5">
        <v>312.74292231316747</v>
      </c>
    </row>
    <row r="199" spans="1:6" x14ac:dyDescent="0.3">
      <c r="A199" s="5" t="s">
        <v>3</v>
      </c>
      <c r="B199" s="5">
        <v>1400</v>
      </c>
      <c r="C199" s="5">
        <v>33</v>
      </c>
      <c r="D199">
        <v>179.92</v>
      </c>
      <c r="E199">
        <v>2.3703419911563399</v>
      </c>
      <c r="F199" s="5">
        <v>426.47193104884866</v>
      </c>
    </row>
    <row r="200" spans="1:6" x14ac:dyDescent="0.3">
      <c r="A200" s="5" t="s">
        <v>3</v>
      </c>
      <c r="B200" s="5">
        <v>1600</v>
      </c>
      <c r="C200" s="5">
        <v>33</v>
      </c>
      <c r="D200">
        <v>234.86</v>
      </c>
      <c r="E200">
        <v>2.3703419911563399</v>
      </c>
      <c r="F200" s="5">
        <v>556.69852004297798</v>
      </c>
    </row>
    <row r="201" spans="1:6" x14ac:dyDescent="0.3">
      <c r="A201" s="5" t="s">
        <v>3</v>
      </c>
      <c r="B201" s="5">
        <v>75</v>
      </c>
      <c r="C201" s="5">
        <v>41</v>
      </c>
      <c r="D201">
        <v>0.46</v>
      </c>
      <c r="E201">
        <v>2.3703419911563399</v>
      </c>
      <c r="F201" s="5">
        <v>1.0903573159319164</v>
      </c>
    </row>
    <row r="202" spans="1:6" x14ac:dyDescent="0.3">
      <c r="A202" s="5" t="s">
        <v>3</v>
      </c>
      <c r="B202" s="5">
        <v>90</v>
      </c>
      <c r="C202" s="5">
        <v>41</v>
      </c>
      <c r="D202">
        <v>0.63</v>
      </c>
      <c r="E202">
        <v>2.3703419911563399</v>
      </c>
      <c r="F202" s="5">
        <v>1.4933154544284941</v>
      </c>
    </row>
    <row r="203" spans="1:6" x14ac:dyDescent="0.3">
      <c r="A203" s="5" t="s">
        <v>3</v>
      </c>
      <c r="B203" s="5">
        <v>100</v>
      </c>
      <c r="C203" s="5">
        <v>41</v>
      </c>
      <c r="D203" s="5">
        <v>0.9</v>
      </c>
      <c r="E203">
        <v>2.3703419911563555</v>
      </c>
      <c r="F203" s="5">
        <v>2.13330779204072</v>
      </c>
    </row>
    <row r="204" spans="1:6" x14ac:dyDescent="0.3">
      <c r="A204" s="5" t="s">
        <v>3</v>
      </c>
      <c r="B204" s="5">
        <v>125</v>
      </c>
      <c r="C204" s="5">
        <v>41</v>
      </c>
      <c r="D204" s="5">
        <v>1.17</v>
      </c>
      <c r="E204">
        <v>2.3703419911563417</v>
      </c>
      <c r="F204" s="5">
        <v>2.7733001296529198</v>
      </c>
    </row>
    <row r="205" spans="1:6" x14ac:dyDescent="0.3">
      <c r="A205" s="5" t="s">
        <v>3</v>
      </c>
      <c r="B205" s="5">
        <v>150</v>
      </c>
      <c r="C205" s="5">
        <v>41</v>
      </c>
      <c r="D205" s="5">
        <v>1.71</v>
      </c>
      <c r="E205">
        <v>2.370341991156351</v>
      </c>
      <c r="F205" s="5">
        <v>4.05328480487736</v>
      </c>
    </row>
    <row r="206" spans="1:6" x14ac:dyDescent="0.3">
      <c r="A206" s="5" t="s">
        <v>3</v>
      </c>
      <c r="B206" s="5">
        <v>200</v>
      </c>
      <c r="C206" s="5">
        <v>41</v>
      </c>
      <c r="D206" s="5">
        <v>2.96</v>
      </c>
      <c r="E206">
        <v>2.3703419911563484</v>
      </c>
      <c r="F206" s="5">
        <v>7.0162122938227904</v>
      </c>
    </row>
    <row r="207" spans="1:6" x14ac:dyDescent="0.3">
      <c r="A207" s="5" t="s">
        <v>3</v>
      </c>
      <c r="B207" s="5">
        <v>225</v>
      </c>
      <c r="C207" s="5">
        <v>41</v>
      </c>
      <c r="D207" s="5">
        <v>3.74</v>
      </c>
      <c r="E207">
        <v>2.3703419911563528</v>
      </c>
      <c r="F207" s="5">
        <v>8.8650790469247607</v>
      </c>
    </row>
    <row r="208" spans="1:6" x14ac:dyDescent="0.3">
      <c r="A208" s="5" t="s">
        <v>3</v>
      </c>
      <c r="B208" s="5">
        <v>250</v>
      </c>
      <c r="C208" s="5">
        <v>41</v>
      </c>
      <c r="D208" s="5">
        <v>4.68</v>
      </c>
      <c r="E208">
        <v>2.3703419911563466</v>
      </c>
      <c r="F208" s="5">
        <v>11.093200518611701</v>
      </c>
    </row>
    <row r="209" spans="1:6" x14ac:dyDescent="0.3">
      <c r="A209" s="5" t="s">
        <v>3</v>
      </c>
      <c r="B209" s="5">
        <v>300</v>
      </c>
      <c r="C209" s="5">
        <v>41</v>
      </c>
      <c r="D209" s="5">
        <v>7.32</v>
      </c>
      <c r="E209">
        <v>2.3703419911563248</v>
      </c>
      <c r="F209" s="5">
        <v>17.350903375264298</v>
      </c>
    </row>
    <row r="210" spans="1:6" x14ac:dyDescent="0.3">
      <c r="A210" s="5" t="s">
        <v>3</v>
      </c>
      <c r="B210" s="5">
        <v>350</v>
      </c>
      <c r="C210" s="5">
        <v>41</v>
      </c>
      <c r="D210" s="5">
        <v>9.32</v>
      </c>
      <c r="E210">
        <v>2.3703419911563519</v>
      </c>
      <c r="F210" s="5">
        <v>22.0915873575772</v>
      </c>
    </row>
    <row r="211" spans="1:6" x14ac:dyDescent="0.3">
      <c r="A211" s="5" t="s">
        <v>3</v>
      </c>
      <c r="B211" s="5">
        <v>400</v>
      </c>
      <c r="C211" s="5">
        <v>41</v>
      </c>
      <c r="D211" s="5">
        <v>11.82</v>
      </c>
      <c r="E211">
        <v>2.3703419911563537</v>
      </c>
      <c r="F211" s="5">
        <v>28.0174423354681</v>
      </c>
    </row>
    <row r="212" spans="1:6" x14ac:dyDescent="0.3">
      <c r="A212" s="5" t="s">
        <v>3</v>
      </c>
      <c r="B212" s="5">
        <v>450</v>
      </c>
      <c r="C212" s="5">
        <v>41</v>
      </c>
      <c r="D212" s="5">
        <v>14.93</v>
      </c>
      <c r="E212">
        <v>2.3703419911563564</v>
      </c>
      <c r="F212" s="5">
        <v>35.389205927964397</v>
      </c>
    </row>
    <row r="213" spans="1:6" x14ac:dyDescent="0.3">
      <c r="A213" s="5" t="s">
        <v>3</v>
      </c>
      <c r="B213" s="5">
        <v>500</v>
      </c>
      <c r="C213" s="5">
        <v>41</v>
      </c>
      <c r="D213" s="5">
        <v>18.54</v>
      </c>
      <c r="E213">
        <v>2.3703419911563377</v>
      </c>
      <c r="F213" s="5">
        <v>43.946140516038497</v>
      </c>
    </row>
    <row r="214" spans="1:6" x14ac:dyDescent="0.3">
      <c r="A214" s="5" t="s">
        <v>3</v>
      </c>
      <c r="B214" s="5">
        <v>600</v>
      </c>
      <c r="C214" s="5">
        <v>41</v>
      </c>
      <c r="D214">
        <v>25</v>
      </c>
      <c r="E214">
        <v>2.3703419911563399</v>
      </c>
      <c r="F214" s="5">
        <v>59.258549778908495</v>
      </c>
    </row>
    <row r="215" spans="1:6" x14ac:dyDescent="0.3">
      <c r="A215" s="5" t="s">
        <v>3</v>
      </c>
      <c r="B215" s="5">
        <v>700</v>
      </c>
      <c r="C215" s="5">
        <v>41</v>
      </c>
      <c r="D215">
        <v>37.25</v>
      </c>
      <c r="E215">
        <v>2.3703419911563399</v>
      </c>
      <c r="F215" s="5">
        <v>88.295239170573666</v>
      </c>
    </row>
    <row r="216" spans="1:6" x14ac:dyDescent="0.3">
      <c r="A216" s="5" t="s">
        <v>3</v>
      </c>
      <c r="B216" s="5">
        <v>800</v>
      </c>
      <c r="C216" s="5">
        <v>41</v>
      </c>
      <c r="D216">
        <v>47.27</v>
      </c>
      <c r="E216">
        <v>2.3703419911563399</v>
      </c>
      <c r="F216" s="5">
        <v>112.04606592196019</v>
      </c>
    </row>
    <row r="217" spans="1:6" x14ac:dyDescent="0.3">
      <c r="A217" s="5" t="s">
        <v>3</v>
      </c>
      <c r="B217" s="5">
        <v>900</v>
      </c>
      <c r="C217" s="5">
        <v>41</v>
      </c>
      <c r="D217">
        <v>59.7</v>
      </c>
      <c r="E217">
        <v>2.3703419911563399</v>
      </c>
      <c r="F217" s="5">
        <v>141.50941687203351</v>
      </c>
    </row>
    <row r="218" spans="1:6" x14ac:dyDescent="0.3">
      <c r="A218" s="5" t="s">
        <v>3</v>
      </c>
      <c r="B218" s="5">
        <v>1000</v>
      </c>
      <c r="C218" s="5">
        <v>41</v>
      </c>
      <c r="D218">
        <v>73.86</v>
      </c>
      <c r="E218">
        <v>2.3703419911563399</v>
      </c>
      <c r="F218" s="5">
        <v>175.07345946680726</v>
      </c>
    </row>
    <row r="219" spans="1:6" x14ac:dyDescent="0.3">
      <c r="A219" s="5" t="s">
        <v>3</v>
      </c>
      <c r="B219" s="5">
        <v>1200</v>
      </c>
      <c r="C219" s="5">
        <v>41</v>
      </c>
      <c r="D219">
        <v>106.36</v>
      </c>
      <c r="E219">
        <v>2.3703419911563399</v>
      </c>
      <c r="F219" s="5">
        <v>252.10957417938832</v>
      </c>
    </row>
    <row r="220" spans="1:6" x14ac:dyDescent="0.3">
      <c r="A220" s="5" t="s">
        <v>3</v>
      </c>
      <c r="B220" s="5">
        <v>1400</v>
      </c>
      <c r="C220" s="5">
        <v>41</v>
      </c>
      <c r="D220">
        <v>144.76</v>
      </c>
      <c r="E220">
        <v>2.3703419911563399</v>
      </c>
      <c r="F220" s="5">
        <v>343.13070663979175</v>
      </c>
    </row>
    <row r="221" spans="1:6" x14ac:dyDescent="0.3">
      <c r="A221" s="5" t="s">
        <v>3</v>
      </c>
      <c r="B221" s="5">
        <v>1600</v>
      </c>
      <c r="C221" s="5">
        <v>41</v>
      </c>
      <c r="D221">
        <v>189.08</v>
      </c>
      <c r="E221">
        <v>2.3703419911563399</v>
      </c>
      <c r="F221" s="5">
        <v>448.18426368784077</v>
      </c>
    </row>
    <row r="222" spans="1:6" x14ac:dyDescent="0.3">
      <c r="A222" t="s">
        <v>262</v>
      </c>
      <c r="B222">
        <v>100</v>
      </c>
      <c r="C222" t="s">
        <v>12</v>
      </c>
      <c r="E222" t="e">
        <v>#DIV/0!</v>
      </c>
    </row>
    <row r="223" spans="1:6" x14ac:dyDescent="0.3">
      <c r="A223" t="s">
        <v>262</v>
      </c>
      <c r="B223">
        <v>125</v>
      </c>
      <c r="C223" t="s">
        <v>12</v>
      </c>
      <c r="E223" t="e">
        <v>#DIV/0!</v>
      </c>
    </row>
    <row r="224" spans="1:6" x14ac:dyDescent="0.3">
      <c r="A224" t="s">
        <v>262</v>
      </c>
      <c r="B224">
        <v>150</v>
      </c>
      <c r="C224" t="s">
        <v>12</v>
      </c>
      <c r="E224" t="e">
        <v>#DIV/0!</v>
      </c>
    </row>
    <row r="225" spans="1:6" x14ac:dyDescent="0.3">
      <c r="A225" t="s">
        <v>262</v>
      </c>
      <c r="B225">
        <v>200</v>
      </c>
      <c r="C225" t="s">
        <v>12</v>
      </c>
      <c r="E225" t="e">
        <v>#DIV/0!</v>
      </c>
    </row>
    <row r="226" spans="1:6" x14ac:dyDescent="0.3">
      <c r="A226" t="s">
        <v>262</v>
      </c>
      <c r="B226">
        <v>225</v>
      </c>
      <c r="C226" t="s">
        <v>12</v>
      </c>
      <c r="E226" t="e">
        <v>#DIV/0!</v>
      </c>
    </row>
    <row r="227" spans="1:6" x14ac:dyDescent="0.3">
      <c r="A227" t="s">
        <v>262</v>
      </c>
      <c r="B227">
        <v>250</v>
      </c>
      <c r="C227" t="s">
        <v>12</v>
      </c>
      <c r="E227" t="e">
        <v>#DIV/0!</v>
      </c>
    </row>
    <row r="228" spans="1:6" x14ac:dyDescent="0.3">
      <c r="A228" t="s">
        <v>262</v>
      </c>
      <c r="B228">
        <v>300</v>
      </c>
      <c r="C228" t="s">
        <v>12</v>
      </c>
      <c r="E228" t="e">
        <v>#DIV/0!</v>
      </c>
    </row>
    <row r="229" spans="1:6" x14ac:dyDescent="0.3">
      <c r="A229" t="s">
        <v>262</v>
      </c>
      <c r="B229">
        <v>350</v>
      </c>
      <c r="C229" t="s">
        <v>12</v>
      </c>
      <c r="E229" t="e">
        <v>#DIV/0!</v>
      </c>
    </row>
    <row r="230" spans="1:6" x14ac:dyDescent="0.3">
      <c r="A230" t="s">
        <v>262</v>
      </c>
      <c r="B230">
        <v>400</v>
      </c>
      <c r="C230" t="s">
        <v>12</v>
      </c>
      <c r="E230" t="e">
        <v>#DIV/0!</v>
      </c>
    </row>
    <row r="231" spans="1:6" x14ac:dyDescent="0.3">
      <c r="A231" t="s">
        <v>262</v>
      </c>
      <c r="B231">
        <v>450</v>
      </c>
      <c r="C231" t="s">
        <v>12</v>
      </c>
      <c r="E231" t="e">
        <v>#DIV/0!</v>
      </c>
    </row>
    <row r="232" spans="1:6" x14ac:dyDescent="0.3">
      <c r="A232" t="s">
        <v>262</v>
      </c>
      <c r="B232">
        <v>500</v>
      </c>
      <c r="C232" t="s">
        <v>12</v>
      </c>
      <c r="E232" t="e">
        <v>#DIV/0!</v>
      </c>
    </row>
    <row r="233" spans="1:6" x14ac:dyDescent="0.3">
      <c r="A233" t="s">
        <v>4</v>
      </c>
      <c r="B233">
        <v>100</v>
      </c>
      <c r="C233" t="s">
        <v>12</v>
      </c>
      <c r="D233">
        <v>0.6</v>
      </c>
      <c r="E233">
        <v>2.2955070191661884</v>
      </c>
      <c r="F233">
        <v>1.3773042114997129</v>
      </c>
    </row>
    <row r="234" spans="1:6" x14ac:dyDescent="0.3">
      <c r="A234" t="s">
        <v>4</v>
      </c>
      <c r="B234">
        <v>125</v>
      </c>
      <c r="C234" t="s">
        <v>12</v>
      </c>
      <c r="D234">
        <v>0.9</v>
      </c>
      <c r="E234">
        <v>2.2955070191661884</v>
      </c>
      <c r="F234">
        <v>2.0659563172495696</v>
      </c>
    </row>
    <row r="235" spans="1:6" x14ac:dyDescent="0.3">
      <c r="A235" t="s">
        <v>4</v>
      </c>
      <c r="B235">
        <v>150</v>
      </c>
      <c r="C235" t="s">
        <v>12</v>
      </c>
      <c r="D235">
        <v>1.3</v>
      </c>
      <c r="E235">
        <v>2.2955070191661884</v>
      </c>
      <c r="F235">
        <v>2.9841591249160451</v>
      </c>
    </row>
    <row r="236" spans="1:6" x14ac:dyDescent="0.3">
      <c r="A236" t="s">
        <v>4</v>
      </c>
      <c r="B236">
        <v>200</v>
      </c>
      <c r="C236" t="s">
        <v>12</v>
      </c>
      <c r="D236">
        <v>2.1</v>
      </c>
      <c r="E236">
        <v>2.2955070191661884</v>
      </c>
      <c r="F236">
        <v>4.8205647402489955</v>
      </c>
    </row>
    <row r="237" spans="1:6" x14ac:dyDescent="0.3">
      <c r="A237" t="s">
        <v>4</v>
      </c>
      <c r="B237">
        <v>225</v>
      </c>
      <c r="C237" t="s">
        <v>12</v>
      </c>
      <c r="D237">
        <v>3.2</v>
      </c>
      <c r="E237">
        <v>2.2955070191661884</v>
      </c>
      <c r="F237">
        <v>7.3456224613318035</v>
      </c>
    </row>
    <row r="238" spans="1:6" x14ac:dyDescent="0.3">
      <c r="A238" t="s">
        <v>4</v>
      </c>
      <c r="B238">
        <v>250</v>
      </c>
      <c r="C238" t="s">
        <v>12</v>
      </c>
      <c r="D238">
        <v>4</v>
      </c>
      <c r="E238">
        <v>2.2955070191661884</v>
      </c>
      <c r="F238">
        <v>9.1820280766647535</v>
      </c>
    </row>
    <row r="239" spans="1:6" x14ac:dyDescent="0.3">
      <c r="A239" t="s">
        <v>4</v>
      </c>
      <c r="B239">
        <v>300</v>
      </c>
      <c r="C239" t="s">
        <v>12</v>
      </c>
      <c r="D239">
        <v>5.4</v>
      </c>
      <c r="E239">
        <v>2.2955070191661884</v>
      </c>
      <c r="F239">
        <v>12.395737903497418</v>
      </c>
    </row>
    <row r="240" spans="1:6" x14ac:dyDescent="0.3">
      <c r="A240" t="s">
        <v>4</v>
      </c>
      <c r="B240">
        <v>350</v>
      </c>
      <c r="C240" t="s">
        <v>12</v>
      </c>
      <c r="D240">
        <v>7.1</v>
      </c>
      <c r="E240">
        <v>2.2955070191661884</v>
      </c>
      <c r="F240">
        <v>16.298099836079938</v>
      </c>
    </row>
    <row r="241" spans="1:6" x14ac:dyDescent="0.3">
      <c r="A241" t="s">
        <v>4</v>
      </c>
      <c r="B241">
        <v>400</v>
      </c>
      <c r="C241" t="s">
        <v>12</v>
      </c>
      <c r="D241">
        <v>8.6999999999999993</v>
      </c>
      <c r="E241">
        <v>2.2955070191661884</v>
      </c>
      <c r="F241">
        <v>19.970911066745838</v>
      </c>
    </row>
    <row r="242" spans="1:6" x14ac:dyDescent="0.3">
      <c r="A242" t="s">
        <v>4</v>
      </c>
      <c r="B242">
        <v>450</v>
      </c>
      <c r="C242" t="s">
        <v>12</v>
      </c>
      <c r="D242">
        <v>11.1</v>
      </c>
      <c r="E242">
        <v>2.2955070191661884</v>
      </c>
      <c r="F242">
        <v>25.480127912744692</v>
      </c>
    </row>
    <row r="243" spans="1:6" x14ac:dyDescent="0.3">
      <c r="A243" t="s">
        <v>4</v>
      </c>
      <c r="B243">
        <v>500</v>
      </c>
      <c r="C243" t="s">
        <v>12</v>
      </c>
      <c r="D243">
        <v>14.3</v>
      </c>
      <c r="E243">
        <v>2.2955070191661884</v>
      </c>
      <c r="F243">
        <v>32.825750374076499</v>
      </c>
    </row>
    <row r="244" spans="1:6" x14ac:dyDescent="0.3">
      <c r="A244" t="s">
        <v>4</v>
      </c>
      <c r="B244">
        <v>600</v>
      </c>
      <c r="C244" s="3"/>
      <c r="D244">
        <v>18.8</v>
      </c>
      <c r="E244">
        <v>2.2955070191661884</v>
      </c>
      <c r="F244">
        <v>43.155531960324346</v>
      </c>
    </row>
    <row r="245" spans="1:6" x14ac:dyDescent="0.3">
      <c r="A245" t="s">
        <v>4</v>
      </c>
      <c r="B245">
        <v>700</v>
      </c>
      <c r="C245" s="4"/>
      <c r="D245">
        <v>25.4</v>
      </c>
      <c r="E245">
        <v>2.2955070191661884</v>
      </c>
      <c r="F245">
        <v>58.305878286821184</v>
      </c>
    </row>
    <row r="246" spans="1:6" x14ac:dyDescent="0.3">
      <c r="A246" t="s">
        <v>4</v>
      </c>
      <c r="B246">
        <v>800</v>
      </c>
      <c r="C246" s="3"/>
      <c r="D246">
        <v>33.299999999999997</v>
      </c>
      <c r="E246">
        <v>2.2955070191661884</v>
      </c>
      <c r="F246">
        <v>76.440383738234061</v>
      </c>
    </row>
    <row r="247" spans="1:6" x14ac:dyDescent="0.3">
      <c r="A247" t="s">
        <v>4</v>
      </c>
      <c r="B247">
        <v>900</v>
      </c>
      <c r="C247" s="4"/>
      <c r="D247">
        <v>42.6</v>
      </c>
      <c r="E247">
        <v>2.2955070191661884</v>
      </c>
      <c r="F247">
        <v>97.788599016479623</v>
      </c>
    </row>
    <row r="248" spans="1:6" x14ac:dyDescent="0.3">
      <c r="A248" t="s">
        <v>4</v>
      </c>
      <c r="B248">
        <v>1000</v>
      </c>
      <c r="C248" s="3"/>
      <c r="D248">
        <v>53.6</v>
      </c>
      <c r="E248">
        <v>2.2955070191661884</v>
      </c>
      <c r="F248">
        <v>123.03917622730771</v>
      </c>
    </row>
    <row r="249" spans="1:6" x14ac:dyDescent="0.3">
      <c r="A249" t="s">
        <v>4</v>
      </c>
      <c r="B249">
        <v>1200</v>
      </c>
      <c r="C249" s="4"/>
      <c r="D249">
        <v>80.8</v>
      </c>
      <c r="E249">
        <v>2.2955070191661884</v>
      </c>
      <c r="F249">
        <v>185.47696714862801</v>
      </c>
    </row>
    <row r="250" spans="1:6" x14ac:dyDescent="0.3">
      <c r="A250" t="s">
        <v>4</v>
      </c>
      <c r="B250">
        <v>1400</v>
      </c>
      <c r="C250" s="3"/>
      <c r="D250">
        <v>116.7</v>
      </c>
      <c r="E250">
        <v>2.2955070191661884</v>
      </c>
      <c r="F250">
        <v>267.88566913669422</v>
      </c>
    </row>
    <row r="251" spans="1:6" x14ac:dyDescent="0.3">
      <c r="A251" t="s">
        <v>263</v>
      </c>
      <c r="B251">
        <v>100</v>
      </c>
      <c r="C251" s="4"/>
      <c r="E251" t="e">
        <v>#DIV/0!</v>
      </c>
    </row>
    <row r="252" spans="1:6" x14ac:dyDescent="0.3">
      <c r="A252" t="s">
        <v>263</v>
      </c>
      <c r="B252">
        <v>125</v>
      </c>
      <c r="C252" s="3"/>
      <c r="E252" t="e">
        <v>#DIV/0!</v>
      </c>
    </row>
    <row r="253" spans="1:6" x14ac:dyDescent="0.3">
      <c r="A253" t="s">
        <v>263</v>
      </c>
      <c r="B253">
        <v>150</v>
      </c>
      <c r="C253" s="4"/>
      <c r="E253" t="e">
        <v>#DIV/0!</v>
      </c>
    </row>
    <row r="254" spans="1:6" x14ac:dyDescent="0.3">
      <c r="A254" t="s">
        <v>263</v>
      </c>
      <c r="B254">
        <v>200</v>
      </c>
      <c r="C254" s="3"/>
      <c r="E254" t="e">
        <v>#DIV/0!</v>
      </c>
    </row>
    <row r="255" spans="1:6" x14ac:dyDescent="0.3">
      <c r="A255" t="s">
        <v>263</v>
      </c>
      <c r="B255">
        <v>225</v>
      </c>
      <c r="C255" s="4"/>
      <c r="E255" t="e">
        <v>#DIV/0!</v>
      </c>
    </row>
    <row r="256" spans="1:6" x14ac:dyDescent="0.3">
      <c r="A256" t="s">
        <v>263</v>
      </c>
      <c r="B256">
        <v>250</v>
      </c>
      <c r="C256" s="3"/>
      <c r="E256" t="e">
        <v>#DIV/0!</v>
      </c>
    </row>
    <row r="257" spans="1:6" x14ac:dyDescent="0.3">
      <c r="A257" t="s">
        <v>263</v>
      </c>
      <c r="B257">
        <v>300</v>
      </c>
      <c r="C257" s="4"/>
      <c r="E257" t="e">
        <v>#DIV/0!</v>
      </c>
    </row>
    <row r="258" spans="1:6" x14ac:dyDescent="0.3">
      <c r="A258" t="s">
        <v>263</v>
      </c>
      <c r="B258">
        <v>350</v>
      </c>
      <c r="C258" s="3"/>
      <c r="E258" t="e">
        <v>#DIV/0!</v>
      </c>
    </row>
    <row r="259" spans="1:6" x14ac:dyDescent="0.3">
      <c r="A259" t="s">
        <v>263</v>
      </c>
      <c r="B259">
        <v>400</v>
      </c>
      <c r="C259" s="4"/>
      <c r="E259" t="e">
        <v>#DIV/0!</v>
      </c>
    </row>
    <row r="260" spans="1:6" x14ac:dyDescent="0.3">
      <c r="A260" t="s">
        <v>263</v>
      </c>
      <c r="B260">
        <v>450</v>
      </c>
      <c r="C260" s="3"/>
      <c r="E260" t="e">
        <v>#DIV/0!</v>
      </c>
    </row>
    <row r="261" spans="1:6" x14ac:dyDescent="0.3">
      <c r="A261" t="s">
        <v>263</v>
      </c>
      <c r="B261">
        <v>500</v>
      </c>
      <c r="C261" s="4"/>
      <c r="E261" t="e">
        <v>#DIV/0!</v>
      </c>
    </row>
    <row r="262" spans="1:6" x14ac:dyDescent="0.3">
      <c r="A262" t="s">
        <v>5</v>
      </c>
      <c r="B262">
        <v>100</v>
      </c>
      <c r="C262" s="3"/>
      <c r="D262" s="5">
        <v>30</v>
      </c>
      <c r="E262">
        <v>0.12104213553002466</v>
      </c>
      <c r="F262" s="9">
        <f>Tabell2[[#This Row],[kg CO₂/kg materiale]]*Tabell1[[#This Row],[Vekt (kg/m)]]</f>
        <v>3.6312640659007398</v>
      </c>
    </row>
    <row r="263" spans="1:6" x14ac:dyDescent="0.3">
      <c r="A263" t="s">
        <v>5</v>
      </c>
      <c r="B263">
        <v>125</v>
      </c>
      <c r="C263" s="4"/>
      <c r="D263" s="5">
        <v>40</v>
      </c>
      <c r="E263">
        <v>0.12104213553002474</v>
      </c>
      <c r="F263" s="9">
        <f>Tabell2[[#This Row],[kg CO₂/kg materiale]]*Tabell1[[#This Row],[Vekt (kg/m)]]</f>
        <v>4.8416854212009897</v>
      </c>
    </row>
    <row r="264" spans="1:6" x14ac:dyDescent="0.3">
      <c r="A264" t="s">
        <v>5</v>
      </c>
      <c r="B264">
        <v>150</v>
      </c>
      <c r="C264" s="3"/>
      <c r="D264" s="5">
        <v>55</v>
      </c>
      <c r="E264">
        <v>0.12104213553002473</v>
      </c>
      <c r="F264" s="9">
        <f>Tabell2[[#This Row],[kg CO₂/kg materiale]]*Tabell1[[#This Row],[Vekt (kg/m)]]</f>
        <v>6.65731745415136</v>
      </c>
    </row>
    <row r="265" spans="1:6" x14ac:dyDescent="0.3">
      <c r="A265" t="s">
        <v>5</v>
      </c>
      <c r="B265">
        <v>200</v>
      </c>
      <c r="C265" s="4"/>
      <c r="D265" s="5">
        <v>90</v>
      </c>
      <c r="E265">
        <v>0.12104213553002445</v>
      </c>
      <c r="F265" s="9">
        <f>Tabell2[[#This Row],[kg CO₂/kg materiale]]*Tabell1[[#This Row],[Vekt (kg/m)]]</f>
        <v>10.893792197702201</v>
      </c>
    </row>
    <row r="266" spans="1:6" x14ac:dyDescent="0.3">
      <c r="A266" t="s">
        <v>5</v>
      </c>
      <c r="B266">
        <v>225</v>
      </c>
      <c r="C266" s="3"/>
      <c r="D266" s="5">
        <v>105</v>
      </c>
      <c r="E266">
        <v>0.12104213553002476</v>
      </c>
      <c r="F266" s="9">
        <f>Tabell2[[#This Row],[kg CO₂/kg materiale]]*Tabell1[[#This Row],[Vekt (kg/m)]]</f>
        <v>12.7094242306526</v>
      </c>
    </row>
    <row r="267" spans="1:6" x14ac:dyDescent="0.3">
      <c r="A267" t="s">
        <v>5</v>
      </c>
      <c r="B267">
        <v>250</v>
      </c>
      <c r="C267" s="4"/>
      <c r="D267" s="5">
        <v>130</v>
      </c>
      <c r="E267">
        <v>0.12104213553002462</v>
      </c>
      <c r="F267" s="9">
        <f>Tabell2[[#This Row],[kg CO₂/kg materiale]]*Tabell1[[#This Row],[Vekt (kg/m)]]</f>
        <v>15.7354776189032</v>
      </c>
    </row>
    <row r="268" spans="1:6" x14ac:dyDescent="0.3">
      <c r="A268" t="s">
        <v>5</v>
      </c>
      <c r="B268">
        <v>300</v>
      </c>
      <c r="C268" s="3"/>
      <c r="D268" s="5">
        <v>170</v>
      </c>
      <c r="E268">
        <v>0.1210421355300247</v>
      </c>
      <c r="F268" s="9">
        <f>Tabell2[[#This Row],[kg CO₂/kg materiale]]*Tabell1[[#This Row],[Vekt (kg/m)]]</f>
        <v>20.5771630401042</v>
      </c>
    </row>
    <row r="269" spans="1:6" x14ac:dyDescent="0.3">
      <c r="A269" t="s">
        <v>5</v>
      </c>
      <c r="B269">
        <v>350</v>
      </c>
      <c r="C269" s="4"/>
      <c r="D269" s="5">
        <v>200</v>
      </c>
      <c r="E269">
        <v>0.12104213553002501</v>
      </c>
      <c r="F269" s="9">
        <f>Tabell2[[#This Row],[kg CO₂/kg materiale]]*Tabell1[[#This Row],[Vekt (kg/m)]]</f>
        <v>24.208427106005001</v>
      </c>
    </row>
    <row r="270" spans="1:6" x14ac:dyDescent="0.3">
      <c r="A270" t="s">
        <v>5</v>
      </c>
      <c r="B270">
        <v>400</v>
      </c>
      <c r="C270" s="3"/>
      <c r="D270" s="5">
        <v>250</v>
      </c>
      <c r="E270">
        <v>0.1210421355300248</v>
      </c>
      <c r="F270" s="9">
        <f>Tabell2[[#This Row],[kg CO₂/kg materiale]]*Tabell1[[#This Row],[Vekt (kg/m)]]</f>
        <v>30.260533882506198</v>
      </c>
    </row>
    <row r="271" spans="1:6" x14ac:dyDescent="0.3">
      <c r="A271" t="s">
        <v>5</v>
      </c>
      <c r="B271">
        <v>450</v>
      </c>
      <c r="C271" s="4"/>
      <c r="D271" s="5">
        <v>350</v>
      </c>
      <c r="E271">
        <v>0.12104213553002456</v>
      </c>
      <c r="F271" s="9">
        <f>Tabell2[[#This Row],[kg CO₂/kg materiale]]*Tabell1[[#This Row],[Vekt (kg/m)]]</f>
        <v>42.364747435508598</v>
      </c>
    </row>
    <row r="272" spans="1:6" x14ac:dyDescent="0.3">
      <c r="A272" t="s">
        <v>5</v>
      </c>
      <c r="B272">
        <v>500</v>
      </c>
      <c r="C272" s="3"/>
      <c r="D272" s="5">
        <v>420</v>
      </c>
      <c r="E272">
        <v>0.12104213553002476</v>
      </c>
      <c r="F272" s="9">
        <f>Tabell2[[#This Row],[kg CO₂/kg materiale]]*Tabell1[[#This Row],[Vekt (kg/m)]]</f>
        <v>50.837696922610398</v>
      </c>
    </row>
    <row r="273" spans="1:6" x14ac:dyDescent="0.3">
      <c r="A273" t="s">
        <v>5</v>
      </c>
      <c r="B273">
        <v>600</v>
      </c>
      <c r="C273" s="4"/>
      <c r="D273">
        <v>520</v>
      </c>
      <c r="E273">
        <v>0.12104213553002476</v>
      </c>
      <c r="F273" s="9">
        <f>Tabell2[[#This Row],[kg CO₂/kg materiale]]*Tabell1[[#This Row],[Vekt (kg/m)]]</f>
        <v>62.941910475612872</v>
      </c>
    </row>
    <row r="274" spans="1:6" x14ac:dyDescent="0.3">
      <c r="A274" t="s">
        <v>5</v>
      </c>
      <c r="B274">
        <v>700</v>
      </c>
      <c r="C274" s="3"/>
      <c r="D274">
        <v>600</v>
      </c>
      <c r="E274">
        <v>0.12104213553002476</v>
      </c>
      <c r="F274" s="9">
        <f>Tabell2[[#This Row],[kg CO₂/kg materiale]]*Tabell1[[#This Row],[Vekt (kg/m)]]</f>
        <v>72.625281318014856</v>
      </c>
    </row>
    <row r="275" spans="1:6" x14ac:dyDescent="0.3">
      <c r="A275" t="s">
        <v>5</v>
      </c>
      <c r="B275">
        <v>800</v>
      </c>
      <c r="C275" s="4"/>
      <c r="D275">
        <v>790</v>
      </c>
      <c r="E275">
        <v>0.12104213553002476</v>
      </c>
      <c r="F275" s="9">
        <f>Tabell2[[#This Row],[kg CO₂/kg materiale]]*Tabell1[[#This Row],[Vekt (kg/m)]]</f>
        <v>95.623287068719563</v>
      </c>
    </row>
    <row r="276" spans="1:6" x14ac:dyDescent="0.3">
      <c r="A276" t="s">
        <v>5</v>
      </c>
      <c r="B276">
        <v>900</v>
      </c>
      <c r="C276" s="3"/>
      <c r="D276">
        <v>940</v>
      </c>
      <c r="E276">
        <v>0.12104213553002476</v>
      </c>
      <c r="F276" s="9">
        <f>Tabell2[[#This Row],[kg CO₂/kg materiale]]*Tabell1[[#This Row],[Vekt (kg/m)]]</f>
        <v>113.77960739822328</v>
      </c>
    </row>
    <row r="277" spans="1:6" x14ac:dyDescent="0.3">
      <c r="A277" t="s">
        <v>5</v>
      </c>
      <c r="B277">
        <v>1000</v>
      </c>
      <c r="C277" s="4"/>
      <c r="D277">
        <v>1110</v>
      </c>
      <c r="E277">
        <v>0.12104213553002476</v>
      </c>
      <c r="F277" s="9">
        <f>Tabell2[[#This Row],[kg CO₂/kg materiale]]*Tabell1[[#This Row],[Vekt (kg/m)]]</f>
        <v>134.35677043832749</v>
      </c>
    </row>
    <row r="278" spans="1:6" x14ac:dyDescent="0.3">
      <c r="A278" t="s">
        <v>5</v>
      </c>
      <c r="B278">
        <v>1200</v>
      </c>
      <c r="C278" s="3"/>
      <c r="D278">
        <v>1430</v>
      </c>
      <c r="E278">
        <v>0.12104213553002476</v>
      </c>
      <c r="F278" s="9">
        <f>Tabell2[[#This Row],[kg CO₂/kg materiale]]*Tabell1[[#This Row],[Vekt (kg/m)]]</f>
        <v>173.0902538079354</v>
      </c>
    </row>
    <row r="279" spans="1:6" x14ac:dyDescent="0.3">
      <c r="A279" t="s">
        <v>5</v>
      </c>
      <c r="B279">
        <v>1400</v>
      </c>
      <c r="C279" s="4"/>
      <c r="D279">
        <v>1910</v>
      </c>
      <c r="E279">
        <v>0.12104213553002476</v>
      </c>
      <c r="F279" s="9">
        <f>Tabell2[[#This Row],[kg CO₂/kg materiale]]*Tabell1[[#This Row],[Vekt (kg/m)]]</f>
        <v>231.19047886234728</v>
      </c>
    </row>
    <row r="280" spans="1:6" x14ac:dyDescent="0.3">
      <c r="A280" t="s">
        <v>5</v>
      </c>
      <c r="B280">
        <v>1600</v>
      </c>
      <c r="C280" s="3"/>
      <c r="D280">
        <v>2410</v>
      </c>
      <c r="E280">
        <v>0.12104213553002476</v>
      </c>
      <c r="F280" s="9">
        <f>Tabell2[[#This Row],[kg CO₂/kg materiale]]*Tabell1[[#This Row],[Vekt (kg/m)]]</f>
        <v>291.71154662735967</v>
      </c>
    </row>
    <row r="281" spans="1:6" x14ac:dyDescent="0.3">
      <c r="A281" t="s">
        <v>5</v>
      </c>
      <c r="B281">
        <v>1800</v>
      </c>
      <c r="C281" s="4"/>
      <c r="D281">
        <v>3145</v>
      </c>
      <c r="E281">
        <v>0.12104213553002476</v>
      </c>
      <c r="F281" s="9">
        <f>Tabell2[[#This Row],[kg CO₂/kg materiale]]*Tabell1[[#This Row],[Vekt (kg/m)]]</f>
        <v>380.67751624192783</v>
      </c>
    </row>
    <row r="282" spans="1:6" x14ac:dyDescent="0.3">
      <c r="A282" t="s">
        <v>5</v>
      </c>
      <c r="B282">
        <v>2000</v>
      </c>
      <c r="C282" s="3"/>
      <c r="D282">
        <v>3740</v>
      </c>
      <c r="E282">
        <v>0.12104213553002476</v>
      </c>
      <c r="F282" s="9">
        <f>Tabell2[[#This Row],[kg CO₂/kg materiale]]*Tabell1[[#This Row],[Vekt (kg/m)]]</f>
        <v>452.69758688229257</v>
      </c>
    </row>
    <row r="283" spans="1:6" x14ac:dyDescent="0.3">
      <c r="A283" t="s">
        <v>6</v>
      </c>
      <c r="B283">
        <v>100</v>
      </c>
      <c r="C283" s="4"/>
      <c r="D283" s="7">
        <v>1.5564764</v>
      </c>
      <c r="E283">
        <v>6.3194525149950103</v>
      </c>
      <c r="F283" s="9">
        <v>9.8360787005103791</v>
      </c>
    </row>
    <row r="284" spans="1:6" x14ac:dyDescent="0.3">
      <c r="A284" t="s">
        <v>6</v>
      </c>
      <c r="B284">
        <v>125</v>
      </c>
      <c r="C284" s="3"/>
      <c r="D284" s="7">
        <v>2.2227014</v>
      </c>
      <c r="E284">
        <v>6.3194525149949961</v>
      </c>
      <c r="F284" s="9">
        <v>14.046255952312899</v>
      </c>
    </row>
    <row r="285" spans="1:6" x14ac:dyDescent="0.3">
      <c r="A285" t="s">
        <v>6</v>
      </c>
      <c r="B285">
        <v>150</v>
      </c>
      <c r="C285" s="4"/>
      <c r="D285" s="7">
        <v>3.0205514</v>
      </c>
      <c r="E285">
        <v>6.3194525149950103</v>
      </c>
      <c r="F285" s="9">
        <v>19.0882311414017</v>
      </c>
    </row>
    <row r="286" spans="1:6" x14ac:dyDescent="0.3">
      <c r="A286" t="s">
        <v>6</v>
      </c>
      <c r="B286">
        <v>200</v>
      </c>
      <c r="C286" s="3"/>
      <c r="D286" s="7">
        <v>5.0111264000000002</v>
      </c>
      <c r="E286">
        <v>6.3194525149949916</v>
      </c>
      <c r="F286" s="9">
        <v>31.667575331437799</v>
      </c>
    </row>
    <row r="287" spans="1:6" x14ac:dyDescent="0.3">
      <c r="A287" t="s">
        <v>6</v>
      </c>
      <c r="B287">
        <v>225</v>
      </c>
      <c r="C287" s="4"/>
      <c r="D287" s="7">
        <v>6.2038513999999996</v>
      </c>
      <c r="E287">
        <v>6.3194525149949925</v>
      </c>
      <c r="F287" s="9">
        <v>39.204944332385203</v>
      </c>
    </row>
    <row r="288" spans="1:6" x14ac:dyDescent="0.3">
      <c r="A288" t="s">
        <v>6</v>
      </c>
      <c r="B288">
        <v>250</v>
      </c>
      <c r="C288" s="3"/>
      <c r="D288" s="7">
        <v>7.5282014000000004</v>
      </c>
      <c r="E288">
        <v>6.3194525149949623</v>
      </c>
      <c r="F288" s="9">
        <v>47.574111270618602</v>
      </c>
    </row>
    <row r="289" spans="1:6" x14ac:dyDescent="0.3">
      <c r="A289" t="s">
        <v>6</v>
      </c>
      <c r="B289">
        <v>300</v>
      </c>
      <c r="C289" s="4"/>
      <c r="D289" s="7">
        <v>10.571776400000001</v>
      </c>
      <c r="E289">
        <v>6.3194525149949632</v>
      </c>
      <c r="F289" s="9">
        <v>66.807838958944401</v>
      </c>
    </row>
    <row r="290" spans="1:6" x14ac:dyDescent="0.3">
      <c r="A290" t="s">
        <v>6</v>
      </c>
      <c r="B290">
        <v>350</v>
      </c>
      <c r="C290" s="3"/>
      <c r="D290" s="6">
        <v>14.1418514</v>
      </c>
      <c r="E290">
        <v>6.3194525149949889</v>
      </c>
      <c r="F290" s="9">
        <v>89.368758396415402</v>
      </c>
    </row>
    <row r="291" spans="1:6" x14ac:dyDescent="0.3">
      <c r="A291" t="s">
        <v>6</v>
      </c>
      <c r="B291">
        <v>400</v>
      </c>
      <c r="C291" s="4"/>
      <c r="D291" s="6">
        <v>18.238426399999998</v>
      </c>
      <c r="E291">
        <v>6.3194525149949898</v>
      </c>
      <c r="F291" s="9">
        <v>115.256869583031</v>
      </c>
    </row>
    <row r="292" spans="1:6" x14ac:dyDescent="0.3">
      <c r="A292" t="s">
        <v>6</v>
      </c>
      <c r="B292">
        <v>450</v>
      </c>
      <c r="C292" s="3"/>
      <c r="D292" s="6">
        <v>22.861501399999998</v>
      </c>
      <c r="E292">
        <v>6.3194525149949703</v>
      </c>
      <c r="F292" s="9">
        <v>144.47217251879101</v>
      </c>
    </row>
    <row r="293" spans="1:6" x14ac:dyDescent="0.3">
      <c r="A293" t="s">
        <v>6</v>
      </c>
      <c r="B293">
        <v>500</v>
      </c>
      <c r="C293" s="4"/>
      <c r="D293" s="6">
        <v>28.011076399999997</v>
      </c>
      <c r="E293">
        <v>6.3194525149949623</v>
      </c>
      <c r="F293" s="9">
        <v>177.01466720369601</v>
      </c>
    </row>
    <row r="294" spans="1:6" x14ac:dyDescent="0.3">
      <c r="A294" t="s">
        <v>6</v>
      </c>
      <c r="B294">
        <v>600</v>
      </c>
      <c r="C294" s="3"/>
      <c r="D294">
        <v>40.08</v>
      </c>
      <c r="E294">
        <v>6.3194525149949623</v>
      </c>
      <c r="F294" s="9">
        <v>253.28365680099807</v>
      </c>
    </row>
    <row r="295" spans="1:6" x14ac:dyDescent="0.3">
      <c r="A295" t="s">
        <v>6</v>
      </c>
      <c r="B295">
        <v>700</v>
      </c>
      <c r="C295" s="4"/>
      <c r="D295">
        <v>54.17</v>
      </c>
      <c r="E295">
        <v>6.3194525149949623</v>
      </c>
      <c r="F295" s="9">
        <v>342.32474273727712</v>
      </c>
    </row>
    <row r="296" spans="1:6" x14ac:dyDescent="0.3">
      <c r="A296" t="s">
        <v>6</v>
      </c>
      <c r="B296">
        <v>800</v>
      </c>
      <c r="C296" s="3"/>
      <c r="D296">
        <v>70.05</v>
      </c>
      <c r="E296">
        <v>6.3194525149949623</v>
      </c>
      <c r="F296" s="9">
        <v>442.67764867539711</v>
      </c>
    </row>
    <row r="297" spans="1:6" x14ac:dyDescent="0.3">
      <c r="A297" t="s">
        <v>6</v>
      </c>
      <c r="B297">
        <v>900</v>
      </c>
      <c r="C297" s="4"/>
      <c r="D297">
        <v>88.26</v>
      </c>
      <c r="E297">
        <v>6.3194525149949623</v>
      </c>
      <c r="F297" s="9">
        <v>557.75487897345545</v>
      </c>
    </row>
    <row r="298" spans="1:6" x14ac:dyDescent="0.3">
      <c r="A298" t="s">
        <v>6</v>
      </c>
      <c r="B298">
        <v>1000</v>
      </c>
      <c r="C298" s="3"/>
      <c r="D298">
        <v>108.2</v>
      </c>
      <c r="E298">
        <v>6.3194525149949623</v>
      </c>
      <c r="F298" s="9">
        <v>683.76476212245495</v>
      </c>
    </row>
    <row r="299" spans="1:6" x14ac:dyDescent="0.3">
      <c r="A299" t="s">
        <v>6</v>
      </c>
      <c r="B299">
        <v>1200</v>
      </c>
      <c r="C299" s="4"/>
      <c r="D299">
        <v>155</v>
      </c>
      <c r="E299">
        <v>6.3194525149949623</v>
      </c>
      <c r="F299" s="9">
        <v>979.5151398242192</v>
      </c>
    </row>
    <row r="300" spans="1:6" x14ac:dyDescent="0.3">
      <c r="A300" t="s">
        <v>6</v>
      </c>
      <c r="B300">
        <v>1400</v>
      </c>
      <c r="C300" s="3"/>
      <c r="D300">
        <v>210</v>
      </c>
      <c r="E300">
        <v>6.3194525149949623</v>
      </c>
      <c r="F300" s="9">
        <v>1327.085028148942</v>
      </c>
    </row>
    <row r="301" spans="1:6" x14ac:dyDescent="0.3">
      <c r="A301" t="s">
        <v>7</v>
      </c>
      <c r="B301">
        <v>100</v>
      </c>
      <c r="C301" s="4"/>
      <c r="D301" s="6">
        <v>1.4994489441000001</v>
      </c>
      <c r="E301">
        <v>2.2955070191661884</v>
      </c>
      <c r="F301" s="9">
        <v>3.44199557606288</v>
      </c>
    </row>
    <row r="302" spans="1:6" x14ac:dyDescent="0.3">
      <c r="A302" t="s">
        <v>7</v>
      </c>
      <c r="B302">
        <v>125</v>
      </c>
      <c r="C302" s="3"/>
      <c r="D302" s="6">
        <v>2.0497632716000003</v>
      </c>
      <c r="E302">
        <v>2.295507019166183</v>
      </c>
      <c r="F302" s="9">
        <v>4.7052459775868396</v>
      </c>
    </row>
    <row r="303" spans="1:6" x14ac:dyDescent="0.3">
      <c r="A303" t="s">
        <v>7</v>
      </c>
      <c r="B303">
        <v>150</v>
      </c>
      <c r="C303" s="4"/>
      <c r="D303" s="6">
        <v>2.7438149741000002</v>
      </c>
      <c r="E303">
        <v>2.2955070191661799</v>
      </c>
      <c r="F303" s="9">
        <v>6.2984465323398204</v>
      </c>
    </row>
    <row r="304" spans="1:6" x14ac:dyDescent="0.3">
      <c r="A304" t="s">
        <v>7</v>
      </c>
      <c r="B304">
        <v>200</v>
      </c>
      <c r="C304" s="3"/>
      <c r="D304" s="6">
        <v>4.5631305041000001</v>
      </c>
      <c r="E304">
        <v>2.2955070191661888</v>
      </c>
      <c r="F304" s="9">
        <v>10.474698101532899</v>
      </c>
    </row>
    <row r="305" spans="1:6" x14ac:dyDescent="0.3">
      <c r="A305" t="s">
        <v>7</v>
      </c>
      <c r="B305">
        <v>225</v>
      </c>
      <c r="C305" s="4"/>
      <c r="D305" s="6">
        <v>5.6883943315999996</v>
      </c>
      <c r="E305">
        <v>2.2955070191661959</v>
      </c>
      <c r="F305" s="9">
        <v>13.057749115972999</v>
      </c>
    </row>
    <row r="306" spans="1:6" x14ac:dyDescent="0.3">
      <c r="A306" t="s">
        <v>7</v>
      </c>
      <c r="B306">
        <v>250</v>
      </c>
      <c r="C306" s="3"/>
      <c r="D306" s="6">
        <v>6.9573955341000007</v>
      </c>
      <c r="E306">
        <v>2.2955070191661822</v>
      </c>
      <c r="F306" s="9">
        <v>15.970750283641999</v>
      </c>
    </row>
    <row r="307" spans="1:6" x14ac:dyDescent="0.3">
      <c r="A307" t="s">
        <v>7</v>
      </c>
      <c r="B307">
        <v>300</v>
      </c>
      <c r="C307" s="4"/>
      <c r="D307" s="6">
        <v>9.9266100641000001</v>
      </c>
      <c r="E307">
        <v>2.2955070191661804</v>
      </c>
      <c r="F307" s="9">
        <v>22.786603078667198</v>
      </c>
    </row>
    <row r="308" spans="1:6" x14ac:dyDescent="0.3">
      <c r="A308" t="s">
        <v>7</v>
      </c>
      <c r="B308">
        <v>350</v>
      </c>
      <c r="C308" s="3"/>
      <c r="D308" s="6">
        <v>13.470774094100001</v>
      </c>
      <c r="E308">
        <v>2.2955070191661879</v>
      </c>
      <c r="F308" s="9">
        <v>30.9222564866086</v>
      </c>
    </row>
    <row r="309" spans="1:6" x14ac:dyDescent="0.3">
      <c r="A309" t="s">
        <v>7</v>
      </c>
      <c r="B309">
        <v>400</v>
      </c>
      <c r="C309" s="4"/>
      <c r="D309" s="6">
        <v>17.589887624100001</v>
      </c>
      <c r="E309">
        <v>2.2955070191661813</v>
      </c>
      <c r="F309" s="9">
        <v>40.377710507465899</v>
      </c>
    </row>
    <row r="310" spans="1:6" x14ac:dyDescent="0.3">
      <c r="A310" t="s">
        <v>7</v>
      </c>
      <c r="B310">
        <v>450</v>
      </c>
      <c r="C310" s="3"/>
      <c r="D310" s="6">
        <v>22.2839506541</v>
      </c>
      <c r="E310">
        <v>2.2955070191661826</v>
      </c>
      <c r="F310" s="9">
        <v>51.152965141239399</v>
      </c>
    </row>
    <row r="311" spans="1:6" x14ac:dyDescent="0.3">
      <c r="A311" t="s">
        <v>7</v>
      </c>
      <c r="B311">
        <v>500</v>
      </c>
      <c r="C311" s="4"/>
      <c r="D311" s="6">
        <v>27.552963184100001</v>
      </c>
      <c r="E311">
        <v>2.2955070191661839</v>
      </c>
      <c r="F311" s="9">
        <v>63.248020387929003</v>
      </c>
    </row>
    <row r="312" spans="1:6" x14ac:dyDescent="0.3">
      <c r="A312" t="s">
        <v>7</v>
      </c>
      <c r="B312">
        <v>600</v>
      </c>
      <c r="C312" s="3"/>
      <c r="D312">
        <v>39.799999999999997</v>
      </c>
      <c r="E312">
        <v>2.2955070191661839</v>
      </c>
      <c r="F312" s="9">
        <v>91.361179362814113</v>
      </c>
    </row>
    <row r="313" spans="1:6" x14ac:dyDescent="0.3">
      <c r="A313" t="s">
        <v>8</v>
      </c>
      <c r="B313">
        <v>100</v>
      </c>
      <c r="C313" s="4"/>
      <c r="D313" s="6">
        <v>2.7136</v>
      </c>
      <c r="E313">
        <v>2.3259264329154443</v>
      </c>
      <c r="F313" s="9">
        <v>6.3116339683593496</v>
      </c>
    </row>
    <row r="314" spans="1:6" x14ac:dyDescent="0.3">
      <c r="A314" t="s">
        <v>8</v>
      </c>
      <c r="B314">
        <v>125</v>
      </c>
      <c r="C314" s="3"/>
      <c r="D314" s="6">
        <v>3.7261000000000002</v>
      </c>
      <c r="E314">
        <v>2.3259264329154505</v>
      </c>
      <c r="F314" s="9">
        <v>8.6666344816862608</v>
      </c>
    </row>
    <row r="315" spans="1:6" x14ac:dyDescent="0.3">
      <c r="A315" t="s">
        <v>8</v>
      </c>
      <c r="B315">
        <v>150</v>
      </c>
      <c r="C315" s="4"/>
      <c r="D315" s="6">
        <v>4.863599999999999</v>
      </c>
      <c r="E315">
        <v>2.3259264329154541</v>
      </c>
      <c r="F315" s="9">
        <v>11.312375799127601</v>
      </c>
    </row>
    <row r="316" spans="1:6" x14ac:dyDescent="0.3">
      <c r="A316" t="s">
        <v>8</v>
      </c>
      <c r="B316">
        <v>200</v>
      </c>
      <c r="C316" s="3"/>
      <c r="D316" s="6">
        <v>7.5135999999999994</v>
      </c>
      <c r="E316">
        <v>2.3259264329154337</v>
      </c>
      <c r="F316" s="9">
        <v>17.476080846353401</v>
      </c>
    </row>
    <row r="317" spans="1:6" x14ac:dyDescent="0.3">
      <c r="A317" t="s">
        <v>8</v>
      </c>
      <c r="B317">
        <v>225</v>
      </c>
      <c r="C317" s="4"/>
      <c r="D317" s="6">
        <v>9.0261000000000013</v>
      </c>
      <c r="E317">
        <v>2.3259264329154452</v>
      </c>
      <c r="F317" s="9">
        <v>20.994044576138101</v>
      </c>
    </row>
    <row r="318" spans="1:6" x14ac:dyDescent="0.3">
      <c r="A318" t="s">
        <v>8</v>
      </c>
      <c r="B318">
        <v>250</v>
      </c>
      <c r="C318" s="3"/>
      <c r="D318" s="6">
        <v>10.663600000000001</v>
      </c>
      <c r="E318">
        <v>2.3259264329154505</v>
      </c>
      <c r="F318" s="9">
        <v>24.802749110037201</v>
      </c>
    </row>
    <row r="319" spans="1:6" x14ac:dyDescent="0.3">
      <c r="A319" t="s">
        <v>8</v>
      </c>
      <c r="B319">
        <v>300</v>
      </c>
      <c r="C319" s="4"/>
      <c r="D319" s="6">
        <v>14.313599999999999</v>
      </c>
      <c r="E319">
        <v>2.3259264329154514</v>
      </c>
      <c r="F319" s="9">
        <v>33.292380590178603</v>
      </c>
    </row>
    <row r="320" spans="1:6" x14ac:dyDescent="0.3">
      <c r="A320" t="s">
        <v>8</v>
      </c>
      <c r="B320">
        <v>350</v>
      </c>
      <c r="C320" s="3"/>
      <c r="D320" s="6">
        <v>18.4636</v>
      </c>
      <c r="E320">
        <v>2.325926432915439</v>
      </c>
      <c r="F320" s="9">
        <v>42.944975286777499</v>
      </c>
    </row>
    <row r="321" spans="1:6" x14ac:dyDescent="0.3">
      <c r="A321" t="s">
        <v>8</v>
      </c>
      <c r="B321">
        <v>400</v>
      </c>
      <c r="C321" s="4"/>
      <c r="D321" s="6">
        <v>23.113599999999998</v>
      </c>
      <c r="E321">
        <v>2.3259264329154523</v>
      </c>
      <c r="F321" s="9">
        <v>53.760533199834597</v>
      </c>
    </row>
    <row r="322" spans="1:6" x14ac:dyDescent="0.3">
      <c r="A322" t="s">
        <v>8</v>
      </c>
      <c r="B322">
        <v>450</v>
      </c>
      <c r="C322" s="3"/>
      <c r="D322" s="6">
        <v>28.2636</v>
      </c>
      <c r="E322">
        <v>2.3259264329154354</v>
      </c>
      <c r="F322" s="9">
        <v>65.739054329348704</v>
      </c>
    </row>
    <row r="323" spans="1:6" x14ac:dyDescent="0.3">
      <c r="A323" t="s">
        <v>8</v>
      </c>
      <c r="B323">
        <v>500</v>
      </c>
      <c r="C323" s="3"/>
      <c r="D323" s="6">
        <v>33.913600000000002</v>
      </c>
      <c r="E323">
        <v>2.3259264329154496</v>
      </c>
      <c r="F323" s="9">
        <v>78.880538675321404</v>
      </c>
    </row>
    <row r="324" spans="1:6" x14ac:dyDescent="0.3">
      <c r="A324" t="s">
        <v>8</v>
      </c>
      <c r="B324">
        <v>600</v>
      </c>
      <c r="C324" s="3"/>
      <c r="D324">
        <v>69.64</v>
      </c>
      <c r="E324">
        <v>2.3259264329154496</v>
      </c>
      <c r="F324" s="13">
        <v>161.97751678823192</v>
      </c>
    </row>
    <row r="325" spans="1:6" x14ac:dyDescent="0.3">
      <c r="A325" t="s">
        <v>9</v>
      </c>
      <c r="B325">
        <v>100</v>
      </c>
      <c r="C325" s="3"/>
      <c r="D325">
        <v>18.100000000000001</v>
      </c>
      <c r="E325">
        <v>1.5944441363596185</v>
      </c>
      <c r="F325" s="9">
        <v>28.859438868109098</v>
      </c>
    </row>
    <row r="326" spans="1:6" x14ac:dyDescent="0.3">
      <c r="A326" t="s">
        <v>9</v>
      </c>
      <c r="B326">
        <v>125</v>
      </c>
      <c r="C326" s="3"/>
      <c r="D326">
        <v>22.5</v>
      </c>
      <c r="E326">
        <v>1.5944441363596178</v>
      </c>
      <c r="F326" s="9">
        <v>35.874993068091399</v>
      </c>
    </row>
    <row r="327" spans="1:6" x14ac:dyDescent="0.3">
      <c r="A327" t="s">
        <v>9</v>
      </c>
      <c r="B327">
        <v>150</v>
      </c>
      <c r="C327" s="3"/>
      <c r="D327">
        <v>26.5</v>
      </c>
      <c r="E327">
        <v>1.5944441363596227</v>
      </c>
      <c r="F327" s="9">
        <v>42.252769613529999</v>
      </c>
    </row>
    <row r="328" spans="1:6" x14ac:dyDescent="0.3">
      <c r="A328" t="s">
        <v>9</v>
      </c>
      <c r="B328">
        <v>200</v>
      </c>
      <c r="C328" s="3"/>
      <c r="D328">
        <v>37</v>
      </c>
      <c r="E328">
        <v>1.5944441363596162</v>
      </c>
      <c r="F328" s="9">
        <v>58.994433045305797</v>
      </c>
    </row>
    <row r="329" spans="1:6" x14ac:dyDescent="0.3">
      <c r="A329" t="s">
        <v>9</v>
      </c>
      <c r="B329">
        <v>225</v>
      </c>
      <c r="C329" s="3"/>
      <c r="D329">
        <v>41</v>
      </c>
      <c r="E329">
        <v>1.5944441363596171</v>
      </c>
      <c r="F329" s="9">
        <v>65.372209590744305</v>
      </c>
    </row>
    <row r="330" spans="1:6" x14ac:dyDescent="0.3">
      <c r="A330" t="s">
        <v>9</v>
      </c>
      <c r="B330">
        <v>250</v>
      </c>
      <c r="C330" s="3"/>
      <c r="D330">
        <v>48.5</v>
      </c>
      <c r="E330">
        <v>1.5944441363596165</v>
      </c>
      <c r="F330" s="9">
        <v>77.3305406134414</v>
      </c>
    </row>
    <row r="331" spans="1:6" x14ac:dyDescent="0.3">
      <c r="A331" t="s">
        <v>9</v>
      </c>
      <c r="B331">
        <v>300</v>
      </c>
      <c r="C331" s="3"/>
      <c r="D331">
        <v>61.5</v>
      </c>
      <c r="E331">
        <v>1.594444136359618</v>
      </c>
      <c r="F331" s="9">
        <v>98.058314386116507</v>
      </c>
    </row>
    <row r="332" spans="1:6" x14ac:dyDescent="0.3">
      <c r="A332" t="s">
        <v>9</v>
      </c>
      <c r="B332">
        <v>350</v>
      </c>
      <c r="C332" s="3"/>
      <c r="D332">
        <v>79.5</v>
      </c>
      <c r="E332">
        <v>1.5944441363596227</v>
      </c>
      <c r="F332" s="9">
        <v>126.75830884059</v>
      </c>
    </row>
    <row r="333" spans="1:6" x14ac:dyDescent="0.3">
      <c r="A333" t="s">
        <v>9</v>
      </c>
      <c r="B333">
        <v>400</v>
      </c>
      <c r="C333" s="3"/>
      <c r="D333">
        <v>94.5</v>
      </c>
      <c r="E333">
        <v>1.5944441363596191</v>
      </c>
      <c r="F333" s="9">
        <v>150.67497088598401</v>
      </c>
    </row>
    <row r="334" spans="1:6" x14ac:dyDescent="0.3">
      <c r="A334" t="s">
        <v>9</v>
      </c>
      <c r="B334">
        <v>450</v>
      </c>
      <c r="C334" s="3"/>
      <c r="D334">
        <v>107</v>
      </c>
      <c r="E334">
        <v>1.5944441363596262</v>
      </c>
      <c r="F334" s="9">
        <v>170.60552259048001</v>
      </c>
    </row>
    <row r="335" spans="1:6" x14ac:dyDescent="0.3">
      <c r="A335" t="s">
        <v>9</v>
      </c>
      <c r="B335">
        <v>500</v>
      </c>
      <c r="C335" s="3"/>
      <c r="D335">
        <v>129</v>
      </c>
      <c r="E335">
        <v>1.5944441363596202</v>
      </c>
      <c r="F335" s="9">
        <v>205.683293590391</v>
      </c>
    </row>
    <row r="336" spans="1:6" x14ac:dyDescent="0.3">
      <c r="A336" t="s">
        <v>9</v>
      </c>
      <c r="B336">
        <v>600</v>
      </c>
      <c r="C336" s="3"/>
      <c r="D336">
        <v>180</v>
      </c>
      <c r="E336">
        <v>1.5944441363596202</v>
      </c>
      <c r="F336" s="9">
        <v>286.99994454473165</v>
      </c>
    </row>
    <row r="337" spans="1:6" x14ac:dyDescent="0.3">
      <c r="A337" t="s">
        <v>9</v>
      </c>
      <c r="B337">
        <v>700</v>
      </c>
      <c r="C337" s="3"/>
      <c r="D337">
        <v>217</v>
      </c>
      <c r="E337">
        <v>1.5944441363596202</v>
      </c>
      <c r="F337" s="9">
        <v>345.99437759003757</v>
      </c>
    </row>
    <row r="338" spans="1:6" x14ac:dyDescent="0.3">
      <c r="A338" t="s">
        <v>9</v>
      </c>
      <c r="B338">
        <v>800</v>
      </c>
      <c r="C338" s="3"/>
      <c r="D338">
        <v>266</v>
      </c>
      <c r="E338">
        <v>1.5944441363596202</v>
      </c>
      <c r="F338" s="9">
        <v>424.12214027165896</v>
      </c>
    </row>
    <row r="339" spans="1:6" x14ac:dyDescent="0.3">
      <c r="A339" t="s">
        <v>9</v>
      </c>
      <c r="B339">
        <v>900</v>
      </c>
      <c r="C339" s="3"/>
      <c r="D339">
        <v>320</v>
      </c>
      <c r="E339">
        <v>1.5944441363596202</v>
      </c>
      <c r="F339" s="9">
        <v>510.22212363507845</v>
      </c>
    </row>
    <row r="340" spans="1:6" x14ac:dyDescent="0.3">
      <c r="A340" t="s">
        <v>9</v>
      </c>
      <c r="B340">
        <v>1000</v>
      </c>
      <c r="C340" s="3"/>
      <c r="D340">
        <v>378</v>
      </c>
      <c r="E340">
        <v>1.5944441363596202</v>
      </c>
      <c r="F340" s="9">
        <v>602.69988354393649</v>
      </c>
    </row>
    <row r="341" spans="1:6" x14ac:dyDescent="0.3">
      <c r="A341" t="s">
        <v>9</v>
      </c>
      <c r="B341">
        <v>1200</v>
      </c>
      <c r="C341" s="3"/>
      <c r="D341">
        <v>510</v>
      </c>
      <c r="E341">
        <v>1.5944441363596202</v>
      </c>
      <c r="F341" s="9">
        <v>813.16650954340628</v>
      </c>
    </row>
    <row r="342" spans="1:6" x14ac:dyDescent="0.3">
      <c r="A342" t="s">
        <v>9</v>
      </c>
      <c r="B342">
        <v>1400</v>
      </c>
      <c r="C342" s="3"/>
      <c r="D342">
        <v>892</v>
      </c>
      <c r="E342">
        <v>1.5944441363596202</v>
      </c>
      <c r="F342" s="9">
        <v>1422.2441696327812</v>
      </c>
    </row>
    <row r="343" spans="1:6" x14ac:dyDescent="0.3">
      <c r="A343" t="s">
        <v>9</v>
      </c>
      <c r="B343">
        <v>1600</v>
      </c>
      <c r="C343" s="3"/>
      <c r="D343">
        <v>954</v>
      </c>
      <c r="E343">
        <v>1.5944441363596202</v>
      </c>
      <c r="F343" s="9">
        <v>1521.0997060870777</v>
      </c>
    </row>
    <row r="344" spans="1:6" x14ac:dyDescent="0.3">
      <c r="A344" t="s">
        <v>9</v>
      </c>
      <c r="B344">
        <v>1800</v>
      </c>
      <c r="C344" s="3"/>
      <c r="D344">
        <v>1046</v>
      </c>
      <c r="E344">
        <v>1.5944441363596202</v>
      </c>
      <c r="F344" s="9">
        <v>1667.7885666321627</v>
      </c>
    </row>
  </sheetData>
  <pageMargins left="0.7" right="0.7" top="0.75" bottom="0.75"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F67"/>
  <sheetViews>
    <sheetView tabSelected="1" zoomScale="70" zoomScaleNormal="70" workbookViewId="0"/>
  </sheetViews>
  <sheetFormatPr baseColWidth="10" defaultColWidth="11.5546875" defaultRowHeight="14.4" x14ac:dyDescent="0.3"/>
  <cols>
    <col min="1" max="1" width="54.88671875" style="554" customWidth="1"/>
    <col min="2" max="5" width="15.5546875" style="600" customWidth="1"/>
    <col min="6" max="6" width="22.5546875" style="600" customWidth="1"/>
    <col min="7" max="7" width="17.109375" style="554" customWidth="1"/>
    <col min="8" max="8" width="13.109375" style="554" bestFit="1" customWidth="1"/>
    <col min="9" max="10" width="11.5546875" style="554"/>
    <col min="11" max="11" width="12.5546875" style="554" bestFit="1" customWidth="1"/>
    <col min="12" max="12" width="16.33203125" style="554" bestFit="1" customWidth="1"/>
    <col min="13" max="13" width="14.88671875" style="554" bestFit="1" customWidth="1"/>
    <col min="14" max="14" width="17.5546875" style="554" bestFit="1" customWidth="1"/>
    <col min="15" max="15" width="16.33203125" style="554" bestFit="1" customWidth="1"/>
    <col min="16" max="16" width="11.5546875" style="554"/>
    <col min="17" max="17" width="15.44140625" style="554" bestFit="1" customWidth="1"/>
    <col min="18" max="18" width="14.88671875" style="554" bestFit="1" customWidth="1"/>
    <col min="19" max="19" width="17" style="554" bestFit="1" customWidth="1"/>
    <col min="20" max="20" width="16.33203125" style="554" bestFit="1" customWidth="1"/>
    <col min="21" max="16384" width="11.5546875" style="554"/>
  </cols>
  <sheetData>
    <row r="1" spans="1:6" ht="21" x14ac:dyDescent="0.4">
      <c r="A1" s="598" t="s">
        <v>811</v>
      </c>
      <c r="B1" s="599"/>
    </row>
    <row r="2" spans="1:6" x14ac:dyDescent="0.3">
      <c r="A2" s="601" t="s">
        <v>821</v>
      </c>
      <c r="B2" s="599"/>
    </row>
    <row r="3" spans="1:6" ht="11.1" customHeight="1" thickBot="1" x14ac:dyDescent="0.35">
      <c r="A3" s="601" t="s">
        <v>1024</v>
      </c>
      <c r="B3" s="599"/>
    </row>
    <row r="4" spans="1:6" s="605" customFormat="1" ht="29.4" thickBot="1" x14ac:dyDescent="0.35">
      <c r="A4" s="602" t="s">
        <v>816</v>
      </c>
      <c r="B4" s="603" t="s">
        <v>810</v>
      </c>
      <c r="C4" s="603" t="s">
        <v>772</v>
      </c>
      <c r="D4" s="603" t="s">
        <v>809</v>
      </c>
      <c r="E4" s="603" t="s">
        <v>776</v>
      </c>
      <c r="F4" s="604" t="s">
        <v>800</v>
      </c>
    </row>
    <row r="5" spans="1:6" s="606" customFormat="1" x14ac:dyDescent="0.3">
      <c r="A5" s="607" t="s">
        <v>1030</v>
      </c>
      <c r="B5" s="874">
        <f>SUM(C5:F5)</f>
        <v>0</v>
      </c>
      <c r="C5" s="874">
        <f>C55</f>
        <v>0</v>
      </c>
      <c r="D5" s="874">
        <f>D55</f>
        <v>0</v>
      </c>
      <c r="E5" s="874">
        <f>E55</f>
        <v>0</v>
      </c>
      <c r="F5" s="875">
        <f>F55</f>
        <v>0</v>
      </c>
    </row>
    <row r="6" spans="1:6" s="606" customFormat="1" x14ac:dyDescent="0.3">
      <c r="A6" s="1276" t="s">
        <v>1023</v>
      </c>
      <c r="B6" s="874">
        <f>SUM(C6:F6)</f>
        <v>0</v>
      </c>
      <c r="C6" s="874">
        <f>C40+C47</f>
        <v>0</v>
      </c>
      <c r="D6" s="874">
        <f>D40+D47</f>
        <v>0</v>
      </c>
      <c r="E6" s="874">
        <f>E40+E59</f>
        <v>0</v>
      </c>
      <c r="F6" s="875">
        <f>F40+F59</f>
        <v>0</v>
      </c>
    </row>
    <row r="7" spans="1:6" s="606" customFormat="1" x14ac:dyDescent="0.3">
      <c r="A7" s="607" t="s">
        <v>798</v>
      </c>
      <c r="B7" s="874">
        <f>SUM(C7:F7)</f>
        <v>0</v>
      </c>
      <c r="C7" s="874">
        <f>C49+C50+C51+C52</f>
        <v>0</v>
      </c>
      <c r="D7" s="874">
        <f>D49+D50+D51+D52</f>
        <v>0</v>
      </c>
      <c r="E7" s="874">
        <f t="shared" ref="E7:F7" si="0">E49+E50+E51+E52</f>
        <v>0</v>
      </c>
      <c r="F7" s="875">
        <f t="shared" si="0"/>
        <v>0</v>
      </c>
    </row>
    <row r="8" spans="1:6" s="606" customFormat="1" x14ac:dyDescent="0.3">
      <c r="A8" s="607" t="s">
        <v>802</v>
      </c>
      <c r="B8" s="874">
        <f t="shared" ref="B8:B13" si="1">SUM(C8:F8)</f>
        <v>0</v>
      </c>
      <c r="C8" s="874">
        <f>C48</f>
        <v>0</v>
      </c>
      <c r="D8" s="874">
        <f>D48</f>
        <v>0</v>
      </c>
      <c r="E8" s="874">
        <f t="shared" ref="E8:F8" si="2">E48</f>
        <v>0</v>
      </c>
      <c r="F8" s="875">
        <f t="shared" si="2"/>
        <v>0</v>
      </c>
    </row>
    <row r="9" spans="1:6" s="606" customFormat="1" x14ac:dyDescent="0.3">
      <c r="A9" s="608" t="s">
        <v>799</v>
      </c>
      <c r="B9" s="876">
        <f t="shared" si="1"/>
        <v>0</v>
      </c>
      <c r="C9" s="876">
        <f>'Input KOSTRA regnskapsdata'!T7</f>
        <v>0</v>
      </c>
      <c r="D9" s="876">
        <f>'Input KOSTRA regnskapsdata'!V7</f>
        <v>0</v>
      </c>
      <c r="E9" s="876">
        <f>'Input KOSTRA regnskapsdata'!U7</f>
        <v>0</v>
      </c>
      <c r="F9" s="877">
        <f>'Input KOSTRA regnskapsdata'!W7</f>
        <v>0</v>
      </c>
    </row>
    <row r="10" spans="1:6" s="606" customFormat="1" x14ac:dyDescent="0.3">
      <c r="A10" s="607" t="s">
        <v>817</v>
      </c>
      <c r="B10" s="874">
        <f t="shared" si="1"/>
        <v>0</v>
      </c>
      <c r="C10" s="874">
        <f>C53+C54</f>
        <v>0</v>
      </c>
      <c r="D10" s="874">
        <f>D53+D54</f>
        <v>0</v>
      </c>
      <c r="E10" s="874">
        <f>E53+E54</f>
        <v>0</v>
      </c>
      <c r="F10" s="875">
        <f>F53+F54</f>
        <v>0</v>
      </c>
    </row>
    <row r="11" spans="1:6" s="606" customFormat="1" x14ac:dyDescent="0.3">
      <c r="A11" s="608" t="s">
        <v>801</v>
      </c>
      <c r="B11" s="876">
        <f t="shared" si="1"/>
        <v>0</v>
      </c>
      <c r="C11" s="876">
        <f>'Input KOSTRA regnskapsdata'!T8</f>
        <v>0</v>
      </c>
      <c r="D11" s="876">
        <f>'Input KOSTRA regnskapsdata'!V8</f>
        <v>0</v>
      </c>
      <c r="E11" s="876">
        <f>'Input KOSTRA regnskapsdata'!U8</f>
        <v>0</v>
      </c>
      <c r="F11" s="877">
        <f>'Input KOSTRA regnskapsdata'!W8</f>
        <v>0</v>
      </c>
    </row>
    <row r="12" spans="1:6" s="606" customFormat="1" x14ac:dyDescent="0.3">
      <c r="A12" s="608" t="s">
        <v>1021</v>
      </c>
      <c r="B12" s="876">
        <f>SUM(C12:F12)</f>
        <v>0</v>
      </c>
      <c r="C12" s="876">
        <f>'Input KOSTRA regnskapsdata'!T10</f>
        <v>0</v>
      </c>
      <c r="D12" s="876">
        <f>'Input KOSTRA regnskapsdata'!V10</f>
        <v>0</v>
      </c>
      <c r="E12" s="876">
        <f>'Input KOSTRA regnskapsdata'!U10</f>
        <v>0</v>
      </c>
      <c r="F12" s="877">
        <f>'Input KOSTRA regnskapsdata'!W10</f>
        <v>0</v>
      </c>
    </row>
    <row r="13" spans="1:6" s="609" customFormat="1" x14ac:dyDescent="0.3">
      <c r="A13" s="608" t="s">
        <v>1022</v>
      </c>
      <c r="B13" s="876">
        <f t="shared" si="1"/>
        <v>0</v>
      </c>
      <c r="C13" s="876">
        <f>'Input KOSTRA regnskapsdata'!T11</f>
        <v>0</v>
      </c>
      <c r="D13" s="876">
        <f>'Input KOSTRA regnskapsdata'!V11</f>
        <v>0</v>
      </c>
      <c r="E13" s="876">
        <f>'Input KOSTRA regnskapsdata'!U11</f>
        <v>0</v>
      </c>
      <c r="F13" s="877">
        <f>'Input KOSTRA regnskapsdata'!W11</f>
        <v>0</v>
      </c>
    </row>
    <row r="14" spans="1:6" s="611" customFormat="1" ht="15" thickBot="1" x14ac:dyDescent="0.35">
      <c r="A14" s="610" t="s">
        <v>806</v>
      </c>
      <c r="B14" s="878">
        <f>SUM(C14:F14)</f>
        <v>0</v>
      </c>
      <c r="C14" s="878">
        <f>SUM(C6:C13)</f>
        <v>0</v>
      </c>
      <c r="D14" s="878">
        <f>SUM(D6:D13)</f>
        <v>0</v>
      </c>
      <c r="E14" s="878">
        <f>SUM(E6:E13)</f>
        <v>0</v>
      </c>
      <c r="F14" s="879">
        <f>SUM(F6:F13)</f>
        <v>0</v>
      </c>
    </row>
    <row r="15" spans="1:6" s="606" customFormat="1" ht="15" thickBot="1" x14ac:dyDescent="0.35">
      <c r="A15" s="612" t="s">
        <v>807</v>
      </c>
      <c r="B15" s="874">
        <f>SUM(C15:F15)</f>
        <v>0</v>
      </c>
      <c r="C15" s="874">
        <f>C64</f>
        <v>0</v>
      </c>
      <c r="D15" s="874">
        <f>D64</f>
        <v>0</v>
      </c>
      <c r="E15" s="874">
        <f>E64</f>
        <v>0</v>
      </c>
      <c r="F15" s="875">
        <f>F64</f>
        <v>0</v>
      </c>
    </row>
    <row r="16" spans="1:6" s="605" customFormat="1" ht="15" thickBot="1" x14ac:dyDescent="0.35">
      <c r="A16" s="613" t="s">
        <v>808</v>
      </c>
      <c r="B16" s="880">
        <f>SUM(C16:F16)</f>
        <v>0</v>
      </c>
      <c r="C16" s="880">
        <f>C14+C15</f>
        <v>0</v>
      </c>
      <c r="D16" s="880">
        <f>D14+D15</f>
        <v>0</v>
      </c>
      <c r="E16" s="880">
        <f>E14+E15</f>
        <v>0</v>
      </c>
      <c r="F16" s="881">
        <f>F14+F15</f>
        <v>0</v>
      </c>
    </row>
    <row r="17" spans="1:6" s="605" customFormat="1" x14ac:dyDescent="0.3">
      <c r="A17" s="1006" t="s">
        <v>1031</v>
      </c>
      <c r="B17" s="614"/>
      <c r="C17" s="614"/>
      <c r="D17" s="614"/>
      <c r="E17" s="614"/>
      <c r="F17" s="614"/>
    </row>
    <row r="18" spans="1:6" s="606" customFormat="1" ht="15" thickBot="1" x14ac:dyDescent="0.35">
      <c r="B18" s="615"/>
      <c r="C18" s="615"/>
      <c r="D18" s="615"/>
      <c r="E18" s="615"/>
      <c r="F18" s="615"/>
    </row>
    <row r="19" spans="1:6" ht="29.4" thickBot="1" x14ac:dyDescent="0.35">
      <c r="A19" s="616" t="s">
        <v>805</v>
      </c>
      <c r="B19" s="603" t="s">
        <v>810</v>
      </c>
      <c r="C19" s="603" t="s">
        <v>772</v>
      </c>
      <c r="D19" s="603" t="s">
        <v>809</v>
      </c>
      <c r="E19" s="603" t="s">
        <v>776</v>
      </c>
      <c r="F19" s="617" t="s">
        <v>800</v>
      </c>
    </row>
    <row r="20" spans="1:6" x14ac:dyDescent="0.3">
      <c r="A20" s="607" t="s">
        <v>565</v>
      </c>
      <c r="B20" s="874">
        <f>'Scope-fordeling'!B49</f>
        <v>0</v>
      </c>
      <c r="C20" s="874">
        <f>'Scope-fordeling'!B46</f>
        <v>0</v>
      </c>
      <c r="D20" s="874">
        <f>'Scope-fordeling'!E46</f>
        <v>0</v>
      </c>
      <c r="E20" s="874">
        <f>'Scope-fordeling'!H46</f>
        <v>0</v>
      </c>
      <c r="F20" s="875">
        <f>'Scope-fordeling'!K46</f>
        <v>0</v>
      </c>
    </row>
    <row r="21" spans="1:6" x14ac:dyDescent="0.3">
      <c r="A21" s="607" t="s">
        <v>559</v>
      </c>
      <c r="B21" s="874">
        <f>'Scope-fordeling'!B50</f>
        <v>0</v>
      </c>
      <c r="C21" s="874">
        <f>'Scope-fordeling'!C46</f>
        <v>0</v>
      </c>
      <c r="D21" s="874">
        <f>'Scope-fordeling'!F46</f>
        <v>0</v>
      </c>
      <c r="E21" s="874">
        <f>'Scope-fordeling'!I46</f>
        <v>0</v>
      </c>
      <c r="F21" s="875">
        <f>'Scope-fordeling'!L46</f>
        <v>0</v>
      </c>
    </row>
    <row r="22" spans="1:6" x14ac:dyDescent="0.3">
      <c r="A22" s="607" t="s">
        <v>560</v>
      </c>
      <c r="B22" s="874">
        <f>'Scope-fordeling'!B51</f>
        <v>0</v>
      </c>
      <c r="C22" s="874">
        <f>'Scope-fordeling'!D46</f>
        <v>0</v>
      </c>
      <c r="D22" s="874">
        <f>'Scope-fordeling'!G46</f>
        <v>0</v>
      </c>
      <c r="E22" s="874">
        <f>'Scope-fordeling'!J46</f>
        <v>0</v>
      </c>
      <c r="F22" s="875">
        <f>'Scope-fordeling'!M46</f>
        <v>0</v>
      </c>
    </row>
    <row r="23" spans="1:6" s="605" customFormat="1" ht="15" thickBot="1" x14ac:dyDescent="0.35">
      <c r="A23" s="618" t="s">
        <v>331</v>
      </c>
      <c r="B23" s="882">
        <f>SUM(C23:F23)</f>
        <v>0</v>
      </c>
      <c r="C23" s="882">
        <f>SUM(C20:C22)</f>
        <v>0</v>
      </c>
      <c r="D23" s="882">
        <f>SUM(D20:D22)</f>
        <v>0</v>
      </c>
      <c r="E23" s="882">
        <f>SUM(E20:E22)</f>
        <v>0</v>
      </c>
      <c r="F23" s="883">
        <f>SUM(F20:F22)</f>
        <v>0</v>
      </c>
    </row>
    <row r="24" spans="1:6" s="606" customFormat="1" ht="15" thickBot="1" x14ac:dyDescent="0.35">
      <c r="B24" s="615"/>
      <c r="C24" s="615"/>
      <c r="D24" s="615"/>
      <c r="E24" s="615"/>
      <c r="F24" s="615"/>
    </row>
    <row r="25" spans="1:6" s="606" customFormat="1" ht="29.4" thickBot="1" x14ac:dyDescent="0.35">
      <c r="A25" s="619" t="s">
        <v>1032</v>
      </c>
      <c r="B25" s="603" t="s">
        <v>810</v>
      </c>
      <c r="C25" s="603" t="s">
        <v>772</v>
      </c>
      <c r="D25" s="603" t="s">
        <v>809</v>
      </c>
      <c r="E25" s="603" t="s">
        <v>776</v>
      </c>
      <c r="F25" s="617" t="s">
        <v>800</v>
      </c>
    </row>
    <row r="26" spans="1:6" s="606" customFormat="1" x14ac:dyDescent="0.3">
      <c r="A26" s="620" t="s">
        <v>722</v>
      </c>
      <c r="B26" s="884">
        <f>SUM(C26:F26)</f>
        <v>0</v>
      </c>
      <c r="C26" s="884">
        <f>'Gevinst fra eksportert energi'!F5</f>
        <v>0</v>
      </c>
      <c r="D26" s="884">
        <f>'Gevinst fra eksportert energi'!F13</f>
        <v>0</v>
      </c>
      <c r="E26" s="884">
        <f>'Gevinst fra eksportert energi'!F8</f>
        <v>0</v>
      </c>
      <c r="F26" s="885">
        <f>'Gevinst fra eksportert energi'!F19</f>
        <v>0</v>
      </c>
    </row>
    <row r="27" spans="1:6" s="606" customFormat="1" x14ac:dyDescent="0.3">
      <c r="A27" s="607" t="s">
        <v>720</v>
      </c>
      <c r="B27" s="874">
        <f t="shared" ref="B27:B29" si="3">SUM(C27:F27)</f>
        <v>0</v>
      </c>
      <c r="C27" s="874">
        <f>'Gevinst fra eksportert energi'!F6</f>
        <v>0</v>
      </c>
      <c r="D27" s="874">
        <f>'Gevinst fra eksportert energi'!F14</f>
        <v>0</v>
      </c>
      <c r="E27" s="874">
        <f>'Gevinst fra eksportert energi'!F9</f>
        <v>0</v>
      </c>
      <c r="F27" s="875">
        <f>'Gevinst fra eksportert energi'!F20</f>
        <v>0</v>
      </c>
    </row>
    <row r="28" spans="1:6" s="606" customFormat="1" x14ac:dyDescent="0.3">
      <c r="A28" s="621" t="s">
        <v>724</v>
      </c>
      <c r="B28" s="886">
        <f t="shared" si="3"/>
        <v>0</v>
      </c>
      <c r="C28" s="622"/>
      <c r="D28" s="886">
        <f>'Gevinst fra eksportert energi'!F15</f>
        <v>0</v>
      </c>
      <c r="E28" s="622"/>
      <c r="F28" s="623"/>
    </row>
    <row r="29" spans="1:6" s="605" customFormat="1" ht="15" thickBot="1" x14ac:dyDescent="0.35">
      <c r="A29" s="624" t="s">
        <v>815</v>
      </c>
      <c r="B29" s="887">
        <f t="shared" si="3"/>
        <v>0</v>
      </c>
      <c r="C29" s="887">
        <f>SUM(C26:C28)</f>
        <v>0</v>
      </c>
      <c r="D29" s="887">
        <f t="shared" ref="D29:F29" si="4">SUM(D26:D28)</f>
        <v>0</v>
      </c>
      <c r="E29" s="887">
        <f t="shared" si="4"/>
        <v>0</v>
      </c>
      <c r="F29" s="888">
        <f t="shared" si="4"/>
        <v>0</v>
      </c>
    </row>
    <row r="30" spans="1:6" s="605" customFormat="1" x14ac:dyDescent="0.3">
      <c r="A30" s="606" t="s">
        <v>1031</v>
      </c>
      <c r="B30" s="606"/>
      <c r="C30" s="606"/>
      <c r="D30" s="606"/>
      <c r="E30" s="606"/>
      <c r="F30" s="606"/>
    </row>
    <row r="31" spans="1:6" s="605" customFormat="1" ht="15" thickBot="1" x14ac:dyDescent="0.35">
      <c r="A31" s="606"/>
      <c r="B31" s="606"/>
      <c r="C31" s="606"/>
      <c r="D31" s="606"/>
      <c r="E31" s="606"/>
      <c r="F31" s="606"/>
    </row>
    <row r="32" spans="1:6" s="628" customFormat="1" ht="0.75" customHeight="1" thickBot="1" x14ac:dyDescent="0.35">
      <c r="A32" s="626"/>
      <c r="B32" s="627"/>
      <c r="C32" s="627"/>
      <c r="D32" s="627"/>
      <c r="E32" s="627"/>
      <c r="F32" s="627"/>
    </row>
    <row r="33" spans="1:6" s="605" customFormat="1" ht="21" x14ac:dyDescent="0.4">
      <c r="A33" s="598" t="s">
        <v>836</v>
      </c>
      <c r="B33" s="606"/>
      <c r="C33" s="606"/>
      <c r="D33" s="606"/>
      <c r="E33" s="606"/>
      <c r="F33" s="606"/>
    </row>
    <row r="34" spans="1:6" s="606" customFormat="1" ht="15" thickBot="1" x14ac:dyDescent="0.35">
      <c r="A34" s="606" t="s">
        <v>837</v>
      </c>
      <c r="B34" s="629"/>
      <c r="C34" s="629"/>
      <c r="D34" s="629"/>
      <c r="E34" s="629"/>
      <c r="F34" s="629"/>
    </row>
    <row r="35" spans="1:6" ht="29.4" thickBot="1" x14ac:dyDescent="0.35">
      <c r="A35" s="630" t="s">
        <v>635</v>
      </c>
      <c r="B35" s="1007" t="s">
        <v>810</v>
      </c>
      <c r="C35" s="1007" t="s">
        <v>772</v>
      </c>
      <c r="D35" s="1007" t="s">
        <v>809</v>
      </c>
      <c r="E35" s="1007" t="s">
        <v>776</v>
      </c>
      <c r="F35" s="1008" t="s">
        <v>507</v>
      </c>
    </row>
    <row r="36" spans="1:6" ht="15" thickBot="1" x14ac:dyDescent="0.35">
      <c r="A36" s="1009" t="s">
        <v>634</v>
      </c>
      <c r="B36" s="1010">
        <f>SUM(B38:B42)+SUM(B47:B55)+SUM(B59:B59)</f>
        <v>0</v>
      </c>
      <c r="C36" s="1010">
        <f>SUM(C38:C42)+SUM(C47:C55)+SUM(C59:C59)</f>
        <v>0</v>
      </c>
      <c r="D36" s="1010">
        <f>SUM(D38:D42)+SUM(D47:D55)+SUM(D59:D59)</f>
        <v>0</v>
      </c>
      <c r="E36" s="1010">
        <f>SUM(E38:E42)+SUM(E47:E55)+SUM(E59:E59)</f>
        <v>0</v>
      </c>
      <c r="F36" s="1010">
        <f>SUM(F38:F42)+SUM(F47:F55)+SUM(F59:F59)</f>
        <v>0</v>
      </c>
    </row>
    <row r="37" spans="1:6" ht="28.8" x14ac:dyDescent="0.3">
      <c r="A37" s="631" t="s">
        <v>636</v>
      </c>
      <c r="B37" s="632" t="s">
        <v>326</v>
      </c>
      <c r="C37" s="633" t="s">
        <v>505</v>
      </c>
      <c r="D37" s="633" t="s">
        <v>453</v>
      </c>
      <c r="E37" s="633" t="s">
        <v>506</v>
      </c>
      <c r="F37" s="633" t="s">
        <v>507</v>
      </c>
    </row>
    <row r="38" spans="1:6" x14ac:dyDescent="0.3">
      <c r="A38" s="607" t="s">
        <v>486</v>
      </c>
      <c r="B38" s="889">
        <f>'Input KOSTRA regnskapsdata'!X7</f>
        <v>0</v>
      </c>
      <c r="C38" s="889">
        <f>'Input KOSTRA regnskapsdata'!T7</f>
        <v>0</v>
      </c>
      <c r="D38" s="889">
        <f>'Input KOSTRA regnskapsdata'!V7</f>
        <v>0</v>
      </c>
      <c r="E38" s="889">
        <f>'Input KOSTRA regnskapsdata'!U7</f>
        <v>0</v>
      </c>
      <c r="F38" s="889">
        <f>'Input KOSTRA regnskapsdata'!W7</f>
        <v>0</v>
      </c>
    </row>
    <row r="39" spans="1:6" x14ac:dyDescent="0.3">
      <c r="A39" s="607" t="s">
        <v>26</v>
      </c>
      <c r="B39" s="889">
        <f>'Input KOSTRA regnskapsdata'!X8</f>
        <v>0</v>
      </c>
      <c r="C39" s="889">
        <f>'Input KOSTRA regnskapsdata'!T8</f>
        <v>0</v>
      </c>
      <c r="D39" s="889">
        <f>'Input KOSTRA regnskapsdata'!V8</f>
        <v>0</v>
      </c>
      <c r="E39" s="889">
        <f>'Input KOSTRA regnskapsdata'!U8</f>
        <v>0</v>
      </c>
      <c r="F39" s="889">
        <f>'Input KOSTRA regnskapsdata'!W8</f>
        <v>0</v>
      </c>
    </row>
    <row r="40" spans="1:6" x14ac:dyDescent="0.3">
      <c r="A40" s="607" t="s">
        <v>307</v>
      </c>
      <c r="B40" s="889">
        <f>'Input KOSTRA regnskapsdata'!X9</f>
        <v>0</v>
      </c>
      <c r="C40" s="889">
        <f>'Input KOSTRA regnskapsdata'!T9</f>
        <v>0</v>
      </c>
      <c r="D40" s="889">
        <f>'Input KOSTRA regnskapsdata'!V9</f>
        <v>0</v>
      </c>
      <c r="E40" s="889">
        <f>'Input KOSTRA regnskapsdata'!U9</f>
        <v>0</v>
      </c>
      <c r="F40" s="889">
        <f>'Input KOSTRA regnskapsdata'!W9</f>
        <v>0</v>
      </c>
    </row>
    <row r="41" spans="1:6" x14ac:dyDescent="0.3">
      <c r="A41" s="607" t="s">
        <v>969</v>
      </c>
      <c r="B41" s="889">
        <f>'Input KOSTRA regnskapsdata'!X10</f>
        <v>0</v>
      </c>
      <c r="C41" s="889">
        <f>'Input KOSTRA regnskapsdata'!T10</f>
        <v>0</v>
      </c>
      <c r="D41" s="889">
        <f>'Input KOSTRA regnskapsdata'!V10</f>
        <v>0</v>
      </c>
      <c r="E41" s="889">
        <f>'Input KOSTRA regnskapsdata'!U10</f>
        <v>0</v>
      </c>
      <c r="F41" s="889">
        <f>'Input KOSTRA regnskapsdata'!W10</f>
        <v>0</v>
      </c>
    </row>
    <row r="42" spans="1:6" x14ac:dyDescent="0.3">
      <c r="A42" s="607" t="s">
        <v>968</v>
      </c>
      <c r="B42" s="889">
        <f>'Input KOSTRA regnskapsdata'!X11</f>
        <v>0</v>
      </c>
      <c r="C42" s="889">
        <f>'Input KOSTRA regnskapsdata'!T11</f>
        <v>0</v>
      </c>
      <c r="D42" s="889">
        <f>'Input KOSTRA regnskapsdata'!V11</f>
        <v>0</v>
      </c>
      <c r="E42" s="889">
        <f>'Input KOSTRA regnskapsdata'!U11</f>
        <v>0</v>
      </c>
      <c r="F42" s="889">
        <f>'Input KOSTRA regnskapsdata'!W11</f>
        <v>0</v>
      </c>
    </row>
    <row r="43" spans="1:6" ht="15" thickBot="1" x14ac:dyDescent="0.35">
      <c r="A43" s="634" t="s">
        <v>513</v>
      </c>
      <c r="B43" s="890">
        <f>'Input KOSTRA regnskapsdata'!X12</f>
        <v>0</v>
      </c>
      <c r="C43" s="890">
        <f>'Input KOSTRA regnskapsdata'!T12</f>
        <v>0</v>
      </c>
      <c r="D43" s="890">
        <f>'Input KOSTRA regnskapsdata'!V12</f>
        <v>0</v>
      </c>
      <c r="E43" s="890">
        <f>'Input KOSTRA regnskapsdata'!U12</f>
        <v>0</v>
      </c>
      <c r="F43" s="890">
        <f>'Input KOSTRA regnskapsdata'!W12</f>
        <v>0</v>
      </c>
    </row>
    <row r="44" spans="1:6" ht="16.5" customHeight="1" x14ac:dyDescent="0.3">
      <c r="B44" s="635"/>
      <c r="C44" s="635"/>
    </row>
    <row r="45" spans="1:6" ht="45.75" customHeight="1" thickBot="1" x14ac:dyDescent="0.35">
      <c r="B45" s="1131" t="s">
        <v>450</v>
      </c>
      <c r="C45" s="1131"/>
      <c r="D45" s="1132" t="s">
        <v>452</v>
      </c>
      <c r="E45" s="1132"/>
      <c r="F45" s="636"/>
    </row>
    <row r="46" spans="1:6" ht="28.8" x14ac:dyDescent="0.3">
      <c r="A46" s="637" t="s">
        <v>835</v>
      </c>
      <c r="B46" s="625" t="s">
        <v>326</v>
      </c>
      <c r="C46" s="625" t="s">
        <v>772</v>
      </c>
      <c r="D46" s="625" t="s">
        <v>809</v>
      </c>
    </row>
    <row r="47" spans="1:6" x14ac:dyDescent="0.3">
      <c r="A47" s="607" t="s">
        <v>307</v>
      </c>
      <c r="B47" s="891">
        <f>SUM(C47:D47)</f>
        <v>0</v>
      </c>
      <c r="C47" s="891">
        <f>'Vannbehandling - Resultater'!K3</f>
        <v>0</v>
      </c>
      <c r="D47" s="891">
        <f>'Avløpsbehandling-Resultater'!B4</f>
        <v>0</v>
      </c>
    </row>
    <row r="48" spans="1:6" x14ac:dyDescent="0.3">
      <c r="A48" s="608" t="s">
        <v>802</v>
      </c>
      <c r="B48" s="891">
        <f>SUM(C48:D48)</f>
        <v>0</v>
      </c>
      <c r="C48" s="891">
        <f>'Vannbehandling - Resultater'!K4</f>
        <v>0</v>
      </c>
      <c r="D48" s="891">
        <f>'Avløpsbehandling-Resultater'!B5</f>
        <v>0</v>
      </c>
    </row>
    <row r="49" spans="1:6" x14ac:dyDescent="0.3">
      <c r="A49" s="607" t="s">
        <v>405</v>
      </c>
      <c r="B49" s="891">
        <f t="shared" ref="B49:B56" si="5">SUM(C49:D49)</f>
        <v>0</v>
      </c>
      <c r="C49" s="891">
        <f>'Vannbehandling - Resultater'!K5</f>
        <v>0</v>
      </c>
      <c r="D49" s="891">
        <f>'Avløpsbehandling-Resultater'!B6</f>
        <v>0</v>
      </c>
    </row>
    <row r="50" spans="1:6" x14ac:dyDescent="0.3">
      <c r="A50" s="607" t="s">
        <v>316</v>
      </c>
      <c r="B50" s="891">
        <f t="shared" si="5"/>
        <v>0</v>
      </c>
      <c r="C50" s="891">
        <f>'Vannbehandling - Input'!W20</f>
        <v>0</v>
      </c>
      <c r="D50" s="891">
        <f>'Avløpsbehandling-Resultater'!B7</f>
        <v>0</v>
      </c>
    </row>
    <row r="51" spans="1:6" x14ac:dyDescent="0.3">
      <c r="A51" s="639" t="s">
        <v>402</v>
      </c>
      <c r="B51" s="891">
        <f t="shared" si="5"/>
        <v>0</v>
      </c>
      <c r="C51" s="891">
        <f>'Vannbehandling - Resultater'!K7</f>
        <v>0</v>
      </c>
      <c r="D51" s="891">
        <f>'Avløpsbehandling-Resultater'!B8</f>
        <v>0</v>
      </c>
    </row>
    <row r="52" spans="1:6" x14ac:dyDescent="0.3">
      <c r="A52" s="607" t="s">
        <v>314</v>
      </c>
      <c r="B52" s="891">
        <f t="shared" si="5"/>
        <v>0</v>
      </c>
      <c r="C52" s="891">
        <f>'Vannbehandling - Resultater'!K8</f>
        <v>0</v>
      </c>
      <c r="D52" s="891">
        <f>'Avløpsbehandling-Resultater'!B9</f>
        <v>0</v>
      </c>
    </row>
    <row r="53" spans="1:6" x14ac:dyDescent="0.3">
      <c r="A53" s="607" t="s">
        <v>803</v>
      </c>
      <c r="B53" s="891">
        <f t="shared" si="5"/>
        <v>0</v>
      </c>
      <c r="C53" s="891">
        <f>SUM('Vannbehandling - Resultater'!B95:B100)</f>
        <v>0</v>
      </c>
      <c r="D53" s="891">
        <f>SUM('Avløpsbehandling-Resultater'!B108:B113)</f>
        <v>0</v>
      </c>
    </row>
    <row r="54" spans="1:6" s="641" customFormat="1" x14ac:dyDescent="0.3">
      <c r="A54" s="608" t="s">
        <v>838</v>
      </c>
      <c r="B54" s="892">
        <f t="shared" si="5"/>
        <v>0</v>
      </c>
      <c r="C54" s="892">
        <f>'Vannbehandling - Resultater'!B101</f>
        <v>0</v>
      </c>
      <c r="D54" s="892">
        <f>'Avløpsbehandling-Resultater'!B114</f>
        <v>0</v>
      </c>
      <c r="E54" s="640"/>
      <c r="F54" s="640"/>
    </row>
    <row r="55" spans="1:6" x14ac:dyDescent="0.3">
      <c r="A55" s="607" t="s">
        <v>512</v>
      </c>
      <c r="B55" s="891">
        <f t="shared" si="5"/>
        <v>0</v>
      </c>
      <c r="C55" s="638"/>
      <c r="D55" s="891">
        <f>'Avløpsbehandling-Resultater'!B11</f>
        <v>0</v>
      </c>
    </row>
    <row r="56" spans="1:6" ht="15" thickBot="1" x14ac:dyDescent="0.35">
      <c r="A56" s="634" t="s">
        <v>513</v>
      </c>
      <c r="B56" s="893">
        <f t="shared" si="5"/>
        <v>0</v>
      </c>
      <c r="C56" s="893">
        <f>'Vannbehandling - Resultater'!K10</f>
        <v>0</v>
      </c>
      <c r="D56" s="893">
        <f>SUM(D47:D55)</f>
        <v>0</v>
      </c>
    </row>
    <row r="57" spans="1:6" ht="15" thickBot="1" x14ac:dyDescent="0.35">
      <c r="B57" s="642"/>
      <c r="C57" s="642"/>
      <c r="D57" s="636"/>
      <c r="E57" s="1131" t="s">
        <v>451</v>
      </c>
      <c r="F57" s="1131"/>
    </row>
    <row r="58" spans="1:6" ht="28.8" x14ac:dyDescent="0.3">
      <c r="A58" s="643" t="s">
        <v>834</v>
      </c>
      <c r="B58" s="633" t="s">
        <v>326</v>
      </c>
      <c r="E58" s="644" t="s">
        <v>776</v>
      </c>
      <c r="F58" s="633" t="s">
        <v>507</v>
      </c>
    </row>
    <row r="59" spans="1:6" x14ac:dyDescent="0.3">
      <c r="A59" s="608" t="s">
        <v>278</v>
      </c>
      <c r="B59" s="891">
        <f t="shared" ref="B59" si="6">SUM(E59:F59)</f>
        <v>0</v>
      </c>
      <c r="E59" s="894">
        <f>'Input KOSTRA regnskapsdata'!L26</f>
        <v>0</v>
      </c>
      <c r="F59" s="891">
        <f>'Input KOSTRA regnskapsdata'!M26</f>
        <v>0</v>
      </c>
    </row>
    <row r="60" spans="1:6" ht="15" thickBot="1" x14ac:dyDescent="0.35">
      <c r="A60" s="634" t="s">
        <v>513</v>
      </c>
      <c r="B60" s="893">
        <f>SUM(E60:F60)</f>
        <v>0</v>
      </c>
      <c r="E60" s="895">
        <f>SUM(E59:E59)</f>
        <v>0</v>
      </c>
      <c r="F60" s="895">
        <f>SUM(F59:F59)</f>
        <v>0</v>
      </c>
    </row>
    <row r="62" spans="1:6" ht="15" thickBot="1" x14ac:dyDescent="0.35"/>
    <row r="63" spans="1:6" ht="28.8" x14ac:dyDescent="0.3">
      <c r="A63" s="643" t="s">
        <v>1014</v>
      </c>
      <c r="B63" s="645" t="s">
        <v>810</v>
      </c>
      <c r="C63" s="646" t="s">
        <v>772</v>
      </c>
      <c r="D63" s="645" t="s">
        <v>809</v>
      </c>
      <c r="E63" s="646" t="s">
        <v>776</v>
      </c>
      <c r="F63" s="633" t="s">
        <v>507</v>
      </c>
    </row>
    <row r="64" spans="1:6" x14ac:dyDescent="0.3">
      <c r="A64" s="608" t="s">
        <v>1011</v>
      </c>
      <c r="B64" s="896">
        <f>SUM(C64:F64)</f>
        <v>0</v>
      </c>
      <c r="C64" s="897">
        <f>'Input KOSTRA regnskapsdata'!L35</f>
        <v>0</v>
      </c>
      <c r="D64" s="896">
        <f>'Input KOSTRA regnskapsdata'!N35</f>
        <v>0</v>
      </c>
      <c r="E64" s="897">
        <f>'Input KOSTRA regnskapsdata'!M35</f>
        <v>0</v>
      </c>
      <c r="F64" s="891">
        <f>'Input KOSTRA regnskapsdata'!O35</f>
        <v>0</v>
      </c>
    </row>
    <row r="65" spans="1:6" ht="15" thickBot="1" x14ac:dyDescent="0.35">
      <c r="A65" s="634" t="s">
        <v>513</v>
      </c>
      <c r="B65" s="898">
        <f>SUM(C65:F65)</f>
        <v>0</v>
      </c>
      <c r="C65" s="990">
        <f>C64</f>
        <v>0</v>
      </c>
      <c r="D65" s="898">
        <f>D64</f>
        <v>0</v>
      </c>
      <c r="E65" s="990">
        <f>E64</f>
        <v>0</v>
      </c>
      <c r="F65" s="893">
        <f>F64</f>
        <v>0</v>
      </c>
    </row>
    <row r="67" spans="1:6" x14ac:dyDescent="0.3">
      <c r="A67" s="647" t="s">
        <v>375</v>
      </c>
    </row>
  </sheetData>
  <sheetProtection algorithmName="SHA-512" hashValue="EBZkQRpL6bu2WzkPwBjpzoX6SWttlJD6RScfSp9qKrlX3m9S9U0mZ9K3r0EIzG3Seu/8fgasI3Bw8ygH40n0HA==" saltValue="Wi1cN+uIWZWA/Ng8WTeRwA==" spinCount="100000" sheet="1" objects="1" scenarios="1" formatColumns="0" formatRows="0"/>
  <mergeCells count="3">
    <mergeCell ref="B45:C45"/>
    <mergeCell ref="D45:E45"/>
    <mergeCell ref="E57:F57"/>
  </mergeCells>
  <hyperlinks>
    <hyperlink ref="A67" location="Innledning!A1" display="Tilbake til forside" xr:uid="{00000000-0004-0000-0A00-000002000000}"/>
    <hyperlink ref="B45" location="'Vann og Avløp-utslippsfaktorer'!A1" display="Utslippsfaktorer vannbehandling" xr:uid="{00000000-0004-0000-0A00-000003000000}"/>
    <hyperlink ref="E57" location="'Transportsystemer, faktorer'!A1" display="Utslippsfaktorer ledningsnett" xr:uid="{00000000-0004-0000-0A00-000004000000}"/>
    <hyperlink ref="D45" location="'Vann og Avløp-utslippsfaktorer'!A1" display="Utslippsfaktorer avløpsbehandling" xr:uid="{00000000-0004-0000-0A00-000005000000}"/>
    <hyperlink ref="A35" location="'Input KOSTRA regnskapsdata'!A1" display="Enkelt klimaregnskap - KOSTRA:" xr:uid="{00000000-0004-0000-0A00-000007000000}"/>
  </hyperlinks>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Q112"/>
  <sheetViews>
    <sheetView zoomScale="70" zoomScaleNormal="70" workbookViewId="0">
      <selection activeCell="A2" sqref="A2"/>
    </sheetView>
  </sheetViews>
  <sheetFormatPr baseColWidth="10" defaultColWidth="11.5546875" defaultRowHeight="14.4" outlineLevelRow="1" outlineLevelCol="1" x14ac:dyDescent="0.3"/>
  <cols>
    <col min="1" max="1" width="11.5546875" style="301"/>
    <col min="2" max="2" width="25" style="301" customWidth="1"/>
    <col min="3" max="3" width="34.6640625" style="301" customWidth="1"/>
    <col min="4" max="4" width="14" style="301" customWidth="1"/>
    <col min="5" max="5" width="13.5546875" style="301" bestFit="1" customWidth="1"/>
    <col min="6" max="6" width="22.44140625" style="301" bestFit="1" customWidth="1"/>
    <col min="7" max="7" width="18.5546875" style="301" bestFit="1" customWidth="1"/>
    <col min="8" max="8" width="19" style="301" bestFit="1" customWidth="1"/>
    <col min="9" max="9" width="25.6640625" style="301" hidden="1" customWidth="1" outlineLevel="1"/>
    <col min="10" max="10" width="19" style="301" hidden="1" customWidth="1" outlineLevel="1"/>
    <col min="11" max="11" width="19.44140625" style="301" hidden="1" customWidth="1" outlineLevel="1"/>
    <col min="12" max="15" width="19" style="301" hidden="1" customWidth="1" outlineLevel="1"/>
    <col min="16" max="16" width="11.5546875" style="301" collapsed="1"/>
    <col min="17" max="19" width="11.5546875" style="301"/>
    <col min="20" max="20" width="27.33203125" style="301" customWidth="1"/>
    <col min="21" max="21" width="11.5546875" style="301"/>
    <col min="22" max="22" width="30.33203125" style="301" customWidth="1"/>
    <col min="23" max="23" width="13.109375" style="301" customWidth="1"/>
    <col min="24" max="32" width="11.5546875" style="301"/>
    <col min="33" max="33" width="11.5546875" style="374" customWidth="1" outlineLevel="1"/>
    <col min="34" max="42" width="11.5546875" style="301" customWidth="1" outlineLevel="1"/>
    <col min="43" max="16384" width="11.5546875" style="301"/>
  </cols>
  <sheetData>
    <row r="1" spans="1:43" ht="24" thickBot="1" x14ac:dyDescent="0.5">
      <c r="B1" s="391" t="s">
        <v>782</v>
      </c>
      <c r="AQ1" s="649" t="s">
        <v>907</v>
      </c>
    </row>
    <row r="2" spans="1:43" ht="45.75" customHeight="1" thickBot="1" x14ac:dyDescent="0.35">
      <c r="B2" s="1136" t="s">
        <v>947</v>
      </c>
      <c r="C2" s="1137"/>
      <c r="D2" s="1137"/>
      <c r="E2" s="1137"/>
      <c r="F2" s="1137"/>
      <c r="G2" s="1137"/>
      <c r="H2" s="1137"/>
      <c r="I2" s="1137"/>
      <c r="J2" s="1137"/>
      <c r="K2" s="1137"/>
      <c r="L2" s="1137"/>
      <c r="M2" s="1137"/>
      <c r="N2" s="1137"/>
      <c r="O2" s="1137"/>
      <c r="P2" s="1137"/>
      <c r="Q2" s="1137"/>
      <c r="R2" s="1138"/>
    </row>
    <row r="3" spans="1:43" ht="15" thickBot="1" x14ac:dyDescent="0.35"/>
    <row r="4" spans="1:43" ht="21" x14ac:dyDescent="0.4">
      <c r="B4" s="321" t="s">
        <v>777</v>
      </c>
      <c r="C4" s="650" t="s">
        <v>778</v>
      </c>
      <c r="D4" s="651"/>
      <c r="E4" s="419" t="s">
        <v>279</v>
      </c>
      <c r="F4" s="381"/>
      <c r="G4" s="458"/>
      <c r="H4" s="458"/>
      <c r="I4" s="458"/>
      <c r="J4" s="458"/>
      <c r="K4" s="458"/>
      <c r="L4" s="458"/>
      <c r="M4" s="458"/>
      <c r="N4" s="458"/>
      <c r="O4" s="458"/>
      <c r="P4" s="458"/>
      <c r="Q4" s="458"/>
      <c r="R4" s="459"/>
    </row>
    <row r="5" spans="1:43" x14ac:dyDescent="0.3">
      <c r="B5" s="372">
        <v>0</v>
      </c>
      <c r="C5" s="868" t="str">
        <f>'Vann og Avløp-utslippsfaktorer'!A3</f>
        <v>Elektrisitet, Norsk forbruksmiks</v>
      </c>
      <c r="D5" s="313"/>
      <c r="E5" s="361">
        <v>0</v>
      </c>
      <c r="F5" s="373"/>
      <c r="G5" s="313"/>
      <c r="H5" s="313"/>
      <c r="I5" s="313"/>
      <c r="J5" s="313"/>
      <c r="K5" s="313"/>
      <c r="L5" s="313"/>
      <c r="M5" s="313"/>
      <c r="N5" s="313"/>
      <c r="O5" s="313"/>
      <c r="R5" s="316"/>
    </row>
    <row r="6" spans="1:43" x14ac:dyDescent="0.3">
      <c r="B6" s="372">
        <v>0</v>
      </c>
      <c r="C6" s="373" t="s">
        <v>488</v>
      </c>
      <c r="D6" s="313"/>
      <c r="E6" s="361">
        <v>0</v>
      </c>
      <c r="F6" s="373"/>
      <c r="G6" s="313"/>
      <c r="H6" s="313"/>
      <c r="I6" s="313"/>
      <c r="J6" s="313"/>
      <c r="K6" s="313"/>
      <c r="L6" s="313"/>
      <c r="M6" s="313"/>
      <c r="N6" s="313"/>
      <c r="O6" s="313"/>
      <c r="R6" s="316"/>
    </row>
    <row r="7" spans="1:43" x14ac:dyDescent="0.3">
      <c r="B7" s="372">
        <v>0</v>
      </c>
      <c r="C7" s="373" t="s">
        <v>308</v>
      </c>
      <c r="D7" s="313"/>
      <c r="E7" s="361">
        <v>0</v>
      </c>
      <c r="F7" s="373"/>
      <c r="G7" s="313"/>
      <c r="H7" s="313"/>
      <c r="I7" s="313"/>
      <c r="J7" s="313"/>
      <c r="K7" s="313"/>
      <c r="L7" s="313"/>
      <c r="M7" s="313"/>
      <c r="N7" s="313"/>
      <c r="O7" s="313"/>
      <c r="R7" s="316"/>
    </row>
    <row r="8" spans="1:43" x14ac:dyDescent="0.3">
      <c r="B8" s="372">
        <v>0</v>
      </c>
      <c r="C8" s="373" t="s">
        <v>764</v>
      </c>
      <c r="D8" s="313"/>
      <c r="E8" s="361">
        <v>0</v>
      </c>
      <c r="F8" s="373"/>
      <c r="G8" s="313"/>
      <c r="H8" s="313"/>
      <c r="I8" s="313"/>
      <c r="J8" s="313"/>
      <c r="K8" s="313"/>
      <c r="L8" s="313"/>
      <c r="M8" s="313"/>
      <c r="N8" s="313"/>
      <c r="O8" s="313"/>
      <c r="R8" s="316"/>
    </row>
    <row r="9" spans="1:43" x14ac:dyDescent="0.3">
      <c r="B9" s="372">
        <v>0</v>
      </c>
      <c r="C9" s="373" t="s">
        <v>309</v>
      </c>
      <c r="D9" s="313"/>
      <c r="E9" s="361">
        <v>0</v>
      </c>
      <c r="F9" s="373"/>
      <c r="G9" s="313"/>
      <c r="H9" s="313"/>
      <c r="I9" s="313"/>
      <c r="J9" s="313"/>
      <c r="K9" s="313"/>
      <c r="L9" s="313"/>
      <c r="M9" s="313"/>
      <c r="N9" s="313"/>
      <c r="O9" s="313"/>
      <c r="R9" s="316"/>
    </row>
    <row r="10" spans="1:43" ht="15" thickBot="1" x14ac:dyDescent="0.35">
      <c r="B10" s="375">
        <v>0</v>
      </c>
      <c r="C10" s="376" t="s">
        <v>310</v>
      </c>
      <c r="D10" s="318"/>
      <c r="E10" s="369">
        <v>0</v>
      </c>
      <c r="F10" s="376"/>
      <c r="G10" s="318"/>
      <c r="H10" s="318"/>
      <c r="I10" s="318"/>
      <c r="J10" s="318"/>
      <c r="K10" s="318"/>
      <c r="L10" s="318"/>
      <c r="M10" s="318"/>
      <c r="N10" s="318"/>
      <c r="O10" s="318"/>
      <c r="P10" s="318"/>
      <c r="Q10" s="318"/>
      <c r="R10" s="320"/>
    </row>
    <row r="11" spans="1:43" ht="15" thickBot="1" x14ac:dyDescent="0.35"/>
    <row r="12" spans="1:43" ht="15" thickBot="1" x14ac:dyDescent="0.35">
      <c r="A12" s="1096" t="s">
        <v>637</v>
      </c>
      <c r="B12" s="1097"/>
      <c r="C12" s="1097"/>
      <c r="D12" s="1097"/>
      <c r="E12" s="1097"/>
      <c r="F12" s="1097"/>
      <c r="G12" s="652"/>
      <c r="H12" s="652"/>
      <c r="I12" s="652"/>
      <c r="J12" s="652"/>
      <c r="K12" s="652"/>
      <c r="L12" s="652"/>
      <c r="M12" s="652"/>
      <c r="N12" s="652"/>
      <c r="O12" s="652"/>
      <c r="P12" s="652"/>
      <c r="Q12" s="652"/>
      <c r="R12" s="652"/>
      <c r="S12" s="652"/>
      <c r="T12" s="653"/>
      <c r="AG12" s="411"/>
      <c r="AH12" s="1133" t="s">
        <v>906</v>
      </c>
      <c r="AI12" s="1133"/>
      <c r="AJ12" s="1133"/>
      <c r="AK12" s="1133" t="s">
        <v>917</v>
      </c>
      <c r="AL12" s="1133"/>
      <c r="AM12" s="1133"/>
      <c r="AN12" s="1133" t="s">
        <v>918</v>
      </c>
      <c r="AO12" s="1133"/>
      <c r="AP12" s="1133"/>
    </row>
    <row r="13" spans="1:43" ht="15.6" outlineLevel="1" x14ac:dyDescent="0.3">
      <c r="A13" s="335" t="s">
        <v>777</v>
      </c>
      <c r="B13" s="335" t="s">
        <v>330</v>
      </c>
      <c r="C13" s="654" t="s">
        <v>15</v>
      </c>
      <c r="D13" s="655"/>
      <c r="E13" s="656" t="s">
        <v>321</v>
      </c>
      <c r="F13" s="307" t="s">
        <v>669</v>
      </c>
      <c r="G13" s="307" t="s">
        <v>667</v>
      </c>
      <c r="H13" s="419" t="s">
        <v>668</v>
      </c>
      <c r="I13" s="378" t="s">
        <v>891</v>
      </c>
      <c r="J13" s="307" t="s">
        <v>892</v>
      </c>
      <c r="K13" s="307" t="s">
        <v>893</v>
      </c>
      <c r="L13" s="307" t="s">
        <v>890</v>
      </c>
      <c r="M13" s="307" t="s">
        <v>921</v>
      </c>
      <c r="N13" s="458" t="s">
        <v>922</v>
      </c>
      <c r="O13" s="459" t="s">
        <v>923</v>
      </c>
      <c r="P13" s="458"/>
      <c r="Q13" s="458"/>
      <c r="R13" s="458"/>
      <c r="S13" s="458"/>
      <c r="T13" s="459"/>
      <c r="AG13" s="654" t="s">
        <v>15</v>
      </c>
      <c r="AH13" s="307" t="s">
        <v>558</v>
      </c>
      <c r="AI13" s="307" t="s">
        <v>559</v>
      </c>
      <c r="AJ13" s="307" t="s">
        <v>560</v>
      </c>
      <c r="AK13" s="307" t="s">
        <v>558</v>
      </c>
      <c r="AL13" s="307" t="s">
        <v>559</v>
      </c>
      <c r="AM13" s="307" t="s">
        <v>560</v>
      </c>
      <c r="AN13" s="307" t="s">
        <v>558</v>
      </c>
      <c r="AO13" s="307" t="s">
        <v>559</v>
      </c>
      <c r="AP13" s="419" t="s">
        <v>560</v>
      </c>
    </row>
    <row r="14" spans="1:43" outlineLevel="1" x14ac:dyDescent="0.3">
      <c r="A14" s="372">
        <v>0</v>
      </c>
      <c r="B14" s="906">
        <f>VLOOKUP(C14,'Vann og Avløp-utslippsfaktorer'!$A$3:$D$82,4,FALSE)</f>
        <v>254</v>
      </c>
      <c r="C14" s="373" t="s">
        <v>16</v>
      </c>
      <c r="D14" s="313"/>
      <c r="E14" s="315">
        <v>0</v>
      </c>
      <c r="F14" s="339">
        <v>100</v>
      </c>
      <c r="G14" s="339">
        <v>0</v>
      </c>
      <c r="H14" s="340">
        <v>0</v>
      </c>
      <c r="I14" s="483" t="s">
        <v>865</v>
      </c>
      <c r="J14" s="484" t="s">
        <v>648</v>
      </c>
      <c r="K14" s="484" t="s">
        <v>871</v>
      </c>
      <c r="L14" s="484" t="s">
        <v>868</v>
      </c>
      <c r="M14" s="899">
        <f>_xlfn.XLOOKUP(I14,'Utslippsfaktorer Transport'!$A$10:$A$19,'Utslippsfaktorer Transport'!$B$10:$B$19)*_xlfn.XLOOKUP(J14,'Utslippsfaktorer Transport'!$A$34:$A$52,'Utslippsfaktorer Transport'!$E$34:$E$52)</f>
        <v>64.47</v>
      </c>
      <c r="N14" s="900">
        <f>_xlfn.XLOOKUP(K14,'Utslippsfaktorer Transport'!$A$27:$A$29,'Utslippsfaktorer Transport'!$F$27:$F$29)</f>
        <v>17.5</v>
      </c>
      <c r="O14" s="901">
        <f>_xlfn.XLOOKUP(L14,'Utslippsfaktorer Transport'!$A$23:$A$25,'Utslippsfaktorer Transport'!$C$23:$C$25)</f>
        <v>0</v>
      </c>
      <c r="P14" s="313"/>
      <c r="Q14" s="313"/>
      <c r="R14" s="313"/>
      <c r="S14" s="313"/>
      <c r="T14" s="316"/>
      <c r="AG14" s="373" t="s">
        <v>16</v>
      </c>
      <c r="AH14" s="442">
        <f>E14*F14*_xlfn.XLOOKUP(I14,'Utslippsfaktorer Transport'!$A$9:$A$19,'Utslippsfaktorer Transport'!$B$9:$B$19)*_xlfn.XLOOKUP(J14,'Utslippsfaktorer Transport'!$A$33:$A$52,'Utslippsfaktorer Transport'!$B$33:$B$52)/1000</f>
        <v>0</v>
      </c>
      <c r="AI14" s="442">
        <f>E14*F14*_xlfn.XLOOKUP(I14,'Utslippsfaktorer Transport'!$A$9:$A$19,'Utslippsfaktorer Transport'!$B$9:$B$19)*_xlfn.XLOOKUP(J14,'Utslippsfaktorer Transport'!$A$33:$A$52,'Utslippsfaktorer Transport'!$C$33:$C$52)/1000</f>
        <v>0</v>
      </c>
      <c r="AJ14" s="442">
        <f>E14*F14*_xlfn.XLOOKUP(I14,'Utslippsfaktorer Transport'!$A$9:$A$19,'Utslippsfaktorer Transport'!$B$9:$B$19)*_xlfn.XLOOKUP(J14,'Utslippsfaktorer Transport'!$A$33:$A$52,'Utslippsfaktorer Transport'!$D$33:$D$52)/1000</f>
        <v>0</v>
      </c>
      <c r="AK14" s="904">
        <f>E14*G14*_xlfn.XLOOKUP(K14,'Utslippsfaktorer Transport'!$A$26:$A$29,'Utslippsfaktorer Transport'!$F$26:$F$29)/1000</f>
        <v>0</v>
      </c>
      <c r="AL14" s="904">
        <f>E14*G14*_xlfn.XLOOKUP(K14,'Utslippsfaktorer Transport'!$A$26:$A$29,'Utslippsfaktorer Transport'!$G$26:$G$29)/1000</f>
        <v>0</v>
      </c>
      <c r="AM14" s="904">
        <f>E14*G14*_xlfn.XLOOKUP(K14,'Utslippsfaktorer Transport'!$A$26:$A$29,'Utslippsfaktorer Transport'!$H$26:$H$29)/1000</f>
        <v>0</v>
      </c>
      <c r="AN14" s="442">
        <f>H14*E14*_xlfn.XLOOKUP(L14,'Utslippsfaktorer Transport'!$A$23:$A$25,'Utslippsfaktorer Transport'!$C$23:$C$25)/1000</f>
        <v>0</v>
      </c>
      <c r="AO14" s="442">
        <f>H14*E14*_xlfn.XLOOKUP(L14,'Utslippsfaktorer Transport'!$A$23:$A$25,'Utslippsfaktorer Transport'!$D$23:$D$25)/1000</f>
        <v>0</v>
      </c>
      <c r="AP14" s="902">
        <f>H14*E14*_xlfn.XLOOKUP(L14,'Utslippsfaktorer Transport'!$A$23:$A$25,'Utslippsfaktorer Transport'!$E$23:$E$25)/1000</f>
        <v>0</v>
      </c>
    </row>
    <row r="15" spans="1:43" ht="15" outlineLevel="1" thickBot="1" x14ac:dyDescent="0.35">
      <c r="A15" s="372">
        <v>0</v>
      </c>
      <c r="B15" s="906">
        <f>VLOOKUP(C15,'Vann og Avløp-utslippsfaktorer'!$A$3:$D$82,4,FALSE)</f>
        <v>446</v>
      </c>
      <c r="C15" s="373" t="s">
        <v>17</v>
      </c>
      <c r="D15" s="313"/>
      <c r="E15" s="315">
        <v>0</v>
      </c>
      <c r="F15" s="315">
        <v>100</v>
      </c>
      <c r="G15" s="315">
        <v>0</v>
      </c>
      <c r="H15" s="340">
        <v>0</v>
      </c>
      <c r="I15" s="483" t="s">
        <v>865</v>
      </c>
      <c r="J15" s="360" t="s">
        <v>648</v>
      </c>
      <c r="K15" s="360" t="s">
        <v>871</v>
      </c>
      <c r="L15" s="360" t="s">
        <v>868</v>
      </c>
      <c r="M15" s="473">
        <f>_xlfn.XLOOKUP(I15,'Utslippsfaktorer Transport'!$A$10:$A$19,'Utslippsfaktorer Transport'!$B$10:$B$19)*_xlfn.XLOOKUP(J15,'Utslippsfaktorer Transport'!$A$34:$A$52,'Utslippsfaktorer Transport'!$E$34:$E$52)</f>
        <v>64.47</v>
      </c>
      <c r="N15" s="442">
        <f>_xlfn.XLOOKUP(K15,'Utslippsfaktorer Transport'!$A$27:$A$29,'Utslippsfaktorer Transport'!$F$27:$F$29)</f>
        <v>17.5</v>
      </c>
      <c r="O15" s="902">
        <f>_xlfn.XLOOKUP(L15,'Utslippsfaktorer Transport'!$A$23:$A$25,'Utslippsfaktorer Transport'!$C$23:$C$25)</f>
        <v>0</v>
      </c>
      <c r="P15" s="313"/>
      <c r="Q15" s="313"/>
      <c r="R15" s="313"/>
      <c r="S15" s="313"/>
      <c r="T15" s="316"/>
      <c r="AG15" s="373" t="s">
        <v>17</v>
      </c>
      <c r="AH15" s="442">
        <f>E15*F15*_xlfn.XLOOKUP(I15,'Utslippsfaktorer Transport'!$A$9:$A$19,'Utslippsfaktorer Transport'!$B$9:$B$19)*_xlfn.XLOOKUP(J15,'Utslippsfaktorer Transport'!$A$33:$A$52,'Utslippsfaktorer Transport'!$B$33:$B$52)/1000</f>
        <v>0</v>
      </c>
      <c r="AI15" s="442">
        <f>E15*F15*_xlfn.XLOOKUP(I15,'Utslippsfaktorer Transport'!$A$9:$A$19,'Utslippsfaktorer Transport'!$B$9:$B$19)*_xlfn.XLOOKUP(J15,'Utslippsfaktorer Transport'!$A$33:$A$52,'Utslippsfaktorer Transport'!$C$33:$C$52)/1000</f>
        <v>0</v>
      </c>
      <c r="AJ15" s="442">
        <f>E15*F15*_xlfn.XLOOKUP(I15,'Utslippsfaktorer Transport'!$A$9:$A$19,'Utslippsfaktorer Transport'!$B$9:$B$19)*_xlfn.XLOOKUP(J15,'Utslippsfaktorer Transport'!$A$33:$A$52,'Utslippsfaktorer Transport'!$D$33:$D$52)/1000</f>
        <v>0</v>
      </c>
      <c r="AK15" s="904">
        <f>E15*G15*_xlfn.XLOOKUP(K15,'Utslippsfaktorer Transport'!$A$26:$A$29,'Utslippsfaktorer Transport'!$F$26:$F$29)/1000</f>
        <v>0</v>
      </c>
      <c r="AL15" s="904">
        <f>E15*G15*_xlfn.XLOOKUP(K15,'Utslippsfaktorer Transport'!$A$26:$A$29,'Utslippsfaktorer Transport'!$G$26:$G$29)/1000</f>
        <v>0</v>
      </c>
      <c r="AM15" s="904">
        <f>E15*G15*_xlfn.XLOOKUP(K15,'Utslippsfaktorer Transport'!$A$26:$A$29,'Utslippsfaktorer Transport'!$H$26:$H$29)/1000</f>
        <v>0</v>
      </c>
      <c r="AN15" s="442">
        <f>H15*E15*_xlfn.XLOOKUP(L15,'Utslippsfaktorer Transport'!$A$23:$A$25,'Utslippsfaktorer Transport'!$C$23:$C$25)/1000</f>
        <v>0</v>
      </c>
      <c r="AO15" s="442">
        <f>H15*E15*_xlfn.XLOOKUP(L15,'Utslippsfaktorer Transport'!$A$23:$A$25,'Utslippsfaktorer Transport'!$D$23:$D$25)/1000</f>
        <v>0</v>
      </c>
      <c r="AP15" s="902">
        <f>H15*E15*_xlfn.XLOOKUP(L15,'Utslippsfaktorer Transport'!$A$23:$A$25,'Utslippsfaktorer Transport'!$E$23:$E$25)/1000</f>
        <v>0</v>
      </c>
    </row>
    <row r="16" spans="1:43" outlineLevel="1" x14ac:dyDescent="0.3">
      <c r="A16" s="372">
        <v>0</v>
      </c>
      <c r="B16" s="906">
        <f>VLOOKUP(C16,'Vann og Avløp-utslippsfaktorer'!$A$3:$D$82,4,FALSE)</f>
        <v>27</v>
      </c>
      <c r="C16" s="373" t="s">
        <v>18</v>
      </c>
      <c r="D16" s="313"/>
      <c r="E16" s="315">
        <v>0</v>
      </c>
      <c r="F16" s="315">
        <v>100</v>
      </c>
      <c r="G16" s="315">
        <v>0</v>
      </c>
      <c r="H16" s="340">
        <v>0</v>
      </c>
      <c r="I16" s="483" t="s">
        <v>865</v>
      </c>
      <c r="J16" s="360" t="s">
        <v>648</v>
      </c>
      <c r="K16" s="360" t="s">
        <v>871</v>
      </c>
      <c r="L16" s="360" t="s">
        <v>868</v>
      </c>
      <c r="M16" s="473">
        <f>_xlfn.XLOOKUP(I16,'Utslippsfaktorer Transport'!$A$10:$A$19,'Utslippsfaktorer Transport'!$B$10:$B$19)*_xlfn.XLOOKUP(J16,'Utslippsfaktorer Transport'!$A$34:$A$52,'Utslippsfaktorer Transport'!$E$34:$E$52)</f>
        <v>64.47</v>
      </c>
      <c r="N16" s="442">
        <f>_xlfn.XLOOKUP(K16,'Utslippsfaktorer Transport'!$A$27:$A$29,'Utslippsfaktorer Transport'!$F$27:$F$29)</f>
        <v>17.5</v>
      </c>
      <c r="O16" s="902">
        <f>_xlfn.XLOOKUP(L16,'Utslippsfaktorer Transport'!$A$23:$A$25,'Utslippsfaktorer Transport'!$C$23:$C$25)</f>
        <v>0</v>
      </c>
      <c r="P16" s="313"/>
      <c r="Q16" s="313"/>
      <c r="R16" s="313"/>
      <c r="S16" s="313"/>
      <c r="T16" s="316"/>
      <c r="V16" s="381"/>
      <c r="W16" s="413" t="s">
        <v>362</v>
      </c>
      <c r="AG16" s="373" t="s">
        <v>18</v>
      </c>
      <c r="AH16" s="442">
        <f>E16*F16*_xlfn.XLOOKUP(I16,'Utslippsfaktorer Transport'!$A$9:$A$19,'Utslippsfaktorer Transport'!$B$9:$B$19)*_xlfn.XLOOKUP(J16,'Utslippsfaktorer Transport'!$A$33:$A$52,'Utslippsfaktorer Transport'!$B$33:$B$52)/1000</f>
        <v>0</v>
      </c>
      <c r="AI16" s="442">
        <f>E16*F16*_xlfn.XLOOKUP(I16,'Utslippsfaktorer Transport'!$A$9:$A$19,'Utslippsfaktorer Transport'!$B$9:$B$19)*_xlfn.XLOOKUP(J16,'Utslippsfaktorer Transport'!$A$33:$A$52,'Utslippsfaktorer Transport'!$C$33:$C$52)/1000</f>
        <v>0</v>
      </c>
      <c r="AJ16" s="442">
        <f>E16*F16*_xlfn.XLOOKUP(I16,'Utslippsfaktorer Transport'!$A$9:$A$19,'Utslippsfaktorer Transport'!$B$9:$B$19)*_xlfn.XLOOKUP(J16,'Utslippsfaktorer Transport'!$A$33:$A$52,'Utslippsfaktorer Transport'!$D$33:$D$52)/1000</f>
        <v>0</v>
      </c>
      <c r="AK16" s="904">
        <f>E16*G16*_xlfn.XLOOKUP(K16,'Utslippsfaktorer Transport'!$A$26:$A$29,'Utslippsfaktorer Transport'!$F$26:$F$29)/1000</f>
        <v>0</v>
      </c>
      <c r="AL16" s="904">
        <f>E16*G16*_xlfn.XLOOKUP(K16,'Utslippsfaktorer Transport'!$A$26:$A$29,'Utslippsfaktorer Transport'!$G$26:$G$29)/1000</f>
        <v>0</v>
      </c>
      <c r="AM16" s="904">
        <f>E16*G16*_xlfn.XLOOKUP(K16,'Utslippsfaktorer Transport'!$A$26:$A$29,'Utslippsfaktorer Transport'!$H$26:$H$29)/1000</f>
        <v>0</v>
      </c>
      <c r="AN16" s="442">
        <f>H16*E16*_xlfn.XLOOKUP(L16,'Utslippsfaktorer Transport'!$A$23:$A$25,'Utslippsfaktorer Transport'!$C$23:$C$25)/1000</f>
        <v>0</v>
      </c>
      <c r="AO16" s="442">
        <f>H16*E16*_xlfn.XLOOKUP(L16,'Utslippsfaktorer Transport'!$A$23:$A$25,'Utslippsfaktorer Transport'!$D$23:$D$25)/1000</f>
        <v>0</v>
      </c>
      <c r="AP16" s="902">
        <f>H16*E16*_xlfn.XLOOKUP(L16,'Utslippsfaktorer Transport'!$A$23:$A$25,'Utslippsfaktorer Transport'!$E$23:$E$25)/1000</f>
        <v>0</v>
      </c>
    </row>
    <row r="17" spans="1:42" outlineLevel="1" x14ac:dyDescent="0.3">
      <c r="A17" s="372">
        <v>0</v>
      </c>
      <c r="B17" s="906">
        <f>VLOOKUP(C17,'Vann og Avløp-utslippsfaktorer'!$A$3:$D$82,4,FALSE)</f>
        <v>12.6</v>
      </c>
      <c r="C17" s="373" t="s">
        <v>19</v>
      </c>
      <c r="D17" s="313"/>
      <c r="E17" s="315">
        <v>0</v>
      </c>
      <c r="F17" s="315">
        <v>100</v>
      </c>
      <c r="G17" s="315">
        <v>0</v>
      </c>
      <c r="H17" s="340">
        <v>0</v>
      </c>
      <c r="I17" s="483" t="s">
        <v>865</v>
      </c>
      <c r="J17" s="360" t="s">
        <v>648</v>
      </c>
      <c r="K17" s="360" t="s">
        <v>871</v>
      </c>
      <c r="L17" s="360" t="s">
        <v>868</v>
      </c>
      <c r="M17" s="473">
        <f>_xlfn.XLOOKUP(I17,'Utslippsfaktorer Transport'!$A$10:$A$19,'Utslippsfaktorer Transport'!$B$10:$B$19)*_xlfn.XLOOKUP(J17,'Utslippsfaktorer Transport'!$A$34:$A$52,'Utslippsfaktorer Transport'!$E$34:$E$52)</f>
        <v>64.47</v>
      </c>
      <c r="N17" s="442">
        <f>_xlfn.XLOOKUP(K17,'Utslippsfaktorer Transport'!$A$27:$A$29,'Utslippsfaktorer Transport'!$F$27:$F$29)</f>
        <v>17.5</v>
      </c>
      <c r="O17" s="902">
        <f>_xlfn.XLOOKUP(L17,'Utslippsfaktorer Transport'!$A$23:$A$25,'Utslippsfaktorer Transport'!$C$23:$C$25)</f>
        <v>0</v>
      </c>
      <c r="P17" s="313"/>
      <c r="Q17" s="313"/>
      <c r="R17" s="313"/>
      <c r="S17" s="313"/>
      <c r="T17" s="316"/>
      <c r="V17" s="908" t="str">
        <f>'Vannbehandling - Resultater'!J3</f>
        <v>Energi</v>
      </c>
      <c r="W17" s="909">
        <f>'Vannbehandling - Resultater'!K3</f>
        <v>0</v>
      </c>
      <c r="AG17" s="373" t="s">
        <v>19</v>
      </c>
      <c r="AH17" s="442">
        <f>E17*F17*_xlfn.XLOOKUP(I17,'Utslippsfaktorer Transport'!$A$9:$A$19,'Utslippsfaktorer Transport'!$B$9:$B$19)*_xlfn.XLOOKUP(J17,'Utslippsfaktorer Transport'!$A$33:$A$52,'Utslippsfaktorer Transport'!$B$33:$B$52)/1000</f>
        <v>0</v>
      </c>
      <c r="AI17" s="442">
        <f>E17*F17*_xlfn.XLOOKUP(I17,'Utslippsfaktorer Transport'!$A$9:$A$19,'Utslippsfaktorer Transport'!$B$9:$B$19)*_xlfn.XLOOKUP(J17,'Utslippsfaktorer Transport'!$A$33:$A$52,'Utslippsfaktorer Transport'!$C$33:$C$52)/1000</f>
        <v>0</v>
      </c>
      <c r="AJ17" s="442">
        <f>E17*F17*_xlfn.XLOOKUP(I17,'Utslippsfaktorer Transport'!$A$9:$A$19,'Utslippsfaktorer Transport'!$B$9:$B$19)*_xlfn.XLOOKUP(J17,'Utslippsfaktorer Transport'!$A$33:$A$52,'Utslippsfaktorer Transport'!$D$33:$D$52)/1000</f>
        <v>0</v>
      </c>
      <c r="AK17" s="904">
        <f>E17*G17*_xlfn.XLOOKUP(K17,'Utslippsfaktorer Transport'!$A$26:$A$29,'Utslippsfaktorer Transport'!$F$26:$F$29)/1000</f>
        <v>0</v>
      </c>
      <c r="AL17" s="904">
        <f>E17*G17*_xlfn.XLOOKUP(K17,'Utslippsfaktorer Transport'!$A$26:$A$29,'Utslippsfaktorer Transport'!$G$26:$G$29)/1000</f>
        <v>0</v>
      </c>
      <c r="AM17" s="904">
        <f>E17*G17*_xlfn.XLOOKUP(K17,'Utslippsfaktorer Transport'!$A$26:$A$29,'Utslippsfaktorer Transport'!$H$26:$H$29)/1000</f>
        <v>0</v>
      </c>
      <c r="AN17" s="442">
        <f>H17*E17*_xlfn.XLOOKUP(L17,'Utslippsfaktorer Transport'!$A$23:$A$25,'Utslippsfaktorer Transport'!$C$23:$C$25)/1000</f>
        <v>0</v>
      </c>
      <c r="AO17" s="442">
        <f>H17*E17*_xlfn.XLOOKUP(L17,'Utslippsfaktorer Transport'!$A$23:$A$25,'Utslippsfaktorer Transport'!$D$23:$D$25)/1000</f>
        <v>0</v>
      </c>
      <c r="AP17" s="902">
        <f>H17*E17*_xlfn.XLOOKUP(L17,'Utslippsfaktorer Transport'!$A$23:$A$25,'Utslippsfaktorer Transport'!$E$23:$E$25)/1000</f>
        <v>0</v>
      </c>
    </row>
    <row r="18" spans="1:42" ht="15" outlineLevel="1" thickBot="1" x14ac:dyDescent="0.35">
      <c r="A18" s="375">
        <v>0</v>
      </c>
      <c r="B18" s="907">
        <f>VLOOKUP(C18,'Vann og Avløp-utslippsfaktorer'!$A$3:$D$82,4,FALSE)</f>
        <v>11</v>
      </c>
      <c r="C18" s="376" t="s">
        <v>574</v>
      </c>
      <c r="D18" s="318"/>
      <c r="E18" s="319">
        <v>0</v>
      </c>
      <c r="F18" s="319">
        <v>100</v>
      </c>
      <c r="G18" s="319">
        <v>0</v>
      </c>
      <c r="H18" s="352">
        <v>0</v>
      </c>
      <c r="I18" s="365" t="s">
        <v>865</v>
      </c>
      <c r="J18" s="329" t="s">
        <v>648</v>
      </c>
      <c r="K18" s="329" t="s">
        <v>871</v>
      </c>
      <c r="L18" s="329" t="s">
        <v>868</v>
      </c>
      <c r="M18" s="479">
        <f>_xlfn.XLOOKUP(I18,'Utslippsfaktorer Transport'!$A$10:$A$19,'Utslippsfaktorer Transport'!$B$10:$B$19)*_xlfn.XLOOKUP(J18,'Utslippsfaktorer Transport'!$A$34:$A$52,'Utslippsfaktorer Transport'!$E$34:$E$52)</f>
        <v>64.47</v>
      </c>
      <c r="N18" s="441">
        <f>_xlfn.XLOOKUP(K18,'Utslippsfaktorer Transport'!$A$27:$A$29,'Utslippsfaktorer Transport'!$F$27:$F$29)</f>
        <v>17.5</v>
      </c>
      <c r="O18" s="903">
        <f>_xlfn.XLOOKUP(L18,'Utslippsfaktorer Transport'!$A$23:$A$25,'Utslippsfaktorer Transport'!$C$23:$C$25)</f>
        <v>0</v>
      </c>
      <c r="P18" s="318"/>
      <c r="Q18" s="318"/>
      <c r="R18" s="318"/>
      <c r="S18" s="318"/>
      <c r="T18" s="320"/>
      <c r="V18" s="868" t="str">
        <f>'Vannbehandling - Resultater'!J4</f>
        <v>Filtermasser</v>
      </c>
      <c r="W18" s="910">
        <f>'Vannbehandling - Resultater'!K4</f>
        <v>0</v>
      </c>
      <c r="AG18" s="376" t="s">
        <v>574</v>
      </c>
      <c r="AH18" s="441">
        <f>E18*F18*_xlfn.XLOOKUP(I18,'Utslippsfaktorer Transport'!$A$9:$A$19,'Utslippsfaktorer Transport'!$B$9:$B$19)*_xlfn.XLOOKUP(J18,'Utslippsfaktorer Transport'!$A$33:$A$52,'Utslippsfaktorer Transport'!$B$33:$B$52)/1000</f>
        <v>0</v>
      </c>
      <c r="AI18" s="441">
        <f>E18*F18*_xlfn.XLOOKUP(I18,'Utslippsfaktorer Transport'!$A$9:$A$19,'Utslippsfaktorer Transport'!$B$9:$B$19)*_xlfn.XLOOKUP(J18,'Utslippsfaktorer Transport'!$A$33:$A$52,'Utslippsfaktorer Transport'!$C$33:$C$52)/1000</f>
        <v>0</v>
      </c>
      <c r="AJ18" s="441">
        <f>E18*F18*_xlfn.XLOOKUP(I18,'Utslippsfaktorer Transport'!$A$9:$A$19,'Utslippsfaktorer Transport'!$B$9:$B$19)*_xlfn.XLOOKUP(J18,'Utslippsfaktorer Transport'!$A$33:$A$52,'Utslippsfaktorer Transport'!$D$33:$D$52)/1000</f>
        <v>0</v>
      </c>
      <c r="AK18" s="905">
        <f>E18*G18*_xlfn.XLOOKUP(K18,'Utslippsfaktorer Transport'!$A$26:$A$29,'Utslippsfaktorer Transport'!$F$26:$F$29)/1000</f>
        <v>0</v>
      </c>
      <c r="AL18" s="905">
        <f>E18*G18*_xlfn.XLOOKUP(K18,'Utslippsfaktorer Transport'!$A$26:$A$29,'Utslippsfaktorer Transport'!$G$26:$G$29)/1000</f>
        <v>0</v>
      </c>
      <c r="AM18" s="905">
        <f>E18*G18*_xlfn.XLOOKUP(K18,'Utslippsfaktorer Transport'!$A$26:$A$29,'Utslippsfaktorer Transport'!$H$26:$H$29)/1000</f>
        <v>0</v>
      </c>
      <c r="AN18" s="441">
        <f>H18*E18*_xlfn.XLOOKUP(L18,'Utslippsfaktorer Transport'!$A$23:$A$25,'Utslippsfaktorer Transport'!$C$23:$C$25)/1000</f>
        <v>0</v>
      </c>
      <c r="AO18" s="441">
        <f>H18*E18*_xlfn.XLOOKUP(L18,'Utslippsfaktorer Transport'!$A$23:$A$25,'Utslippsfaktorer Transport'!$D$23:$D$25)/1000</f>
        <v>0</v>
      </c>
      <c r="AP18" s="903">
        <f>H18*E18*_xlfn.XLOOKUP(L18,'Utslippsfaktorer Transport'!$A$23:$A$25,'Utslippsfaktorer Transport'!$E$23:$E$25)/1000</f>
        <v>0</v>
      </c>
    </row>
    <row r="19" spans="1:42" ht="15" outlineLevel="1" thickBot="1" x14ac:dyDescent="0.35">
      <c r="C19" s="334" t="s">
        <v>390</v>
      </c>
      <c r="D19" s="334"/>
      <c r="V19" s="868" t="str">
        <f>'Vannbehandling - Resultater'!J5</f>
        <v>Kjemikalier - felling</v>
      </c>
      <c r="W19" s="910">
        <f>'Vannbehandling - Resultater'!K5</f>
        <v>0</v>
      </c>
      <c r="AK19" s="660"/>
      <c r="AL19" s="660"/>
      <c r="AM19" s="660"/>
    </row>
    <row r="20" spans="1:42" ht="16.2" outlineLevel="1" thickBot="1" x14ac:dyDescent="0.35">
      <c r="A20" s="335" t="s">
        <v>777</v>
      </c>
      <c r="B20" s="370" t="s">
        <v>330</v>
      </c>
      <c r="C20" s="654" t="s">
        <v>401</v>
      </c>
      <c r="D20" s="655"/>
      <c r="E20" s="307"/>
      <c r="F20" s="458"/>
      <c r="G20" s="458"/>
      <c r="H20" s="459"/>
      <c r="I20" s="458"/>
      <c r="J20" s="458"/>
      <c r="K20" s="458"/>
      <c r="L20" s="458"/>
      <c r="M20" s="458"/>
      <c r="N20" s="458"/>
      <c r="O20" s="458"/>
      <c r="P20" s="458"/>
      <c r="Q20" s="458"/>
      <c r="R20" s="458"/>
      <c r="S20" s="458"/>
      <c r="T20" s="459"/>
      <c r="V20" s="868" t="str">
        <f>'Vannbehandling - Resultater'!J6</f>
        <v>Karbonkilder</v>
      </c>
      <c r="W20" s="910">
        <f>'Vannbehandling - Resultater'!K6</f>
        <v>0</v>
      </c>
      <c r="AG20" s="654" t="s">
        <v>401</v>
      </c>
      <c r="AH20" s="307"/>
      <c r="AI20" s="307"/>
      <c r="AJ20" s="307"/>
      <c r="AK20" s="661"/>
      <c r="AL20" s="661"/>
      <c r="AM20" s="661"/>
      <c r="AN20" s="307"/>
      <c r="AO20" s="307"/>
      <c r="AP20" s="419"/>
    </row>
    <row r="21" spans="1:42" ht="15.6" outlineLevel="1" x14ac:dyDescent="0.3">
      <c r="A21" s="405"/>
      <c r="B21" s="469"/>
      <c r="C21" s="662" t="s">
        <v>605</v>
      </c>
      <c r="D21" s="663"/>
      <c r="E21" s="664" t="s">
        <v>321</v>
      </c>
      <c r="F21" s="664" t="s">
        <v>669</v>
      </c>
      <c r="G21" s="528" t="s">
        <v>667</v>
      </c>
      <c r="H21" s="665" t="s">
        <v>670</v>
      </c>
      <c r="I21" s="378" t="s">
        <v>891</v>
      </c>
      <c r="J21" s="307" t="s">
        <v>892</v>
      </c>
      <c r="K21" s="307" t="s">
        <v>893</v>
      </c>
      <c r="L21" s="307" t="s">
        <v>890</v>
      </c>
      <c r="M21" s="307" t="s">
        <v>894</v>
      </c>
      <c r="N21" s="307" t="s">
        <v>895</v>
      </c>
      <c r="O21" s="419" t="s">
        <v>901</v>
      </c>
      <c r="P21" s="313"/>
      <c r="Q21" s="313"/>
      <c r="R21" s="313"/>
      <c r="S21" s="313"/>
      <c r="T21" s="316"/>
      <c r="V21" s="666" t="s">
        <v>436</v>
      </c>
      <c r="W21" s="910">
        <f>'Vannbehandling - Resultater'!K7</f>
        <v>0</v>
      </c>
      <c r="AG21" s="667" t="s">
        <v>605</v>
      </c>
      <c r="AH21" s="313"/>
      <c r="AI21" s="313"/>
      <c r="AJ21" s="313"/>
      <c r="AK21" s="657"/>
      <c r="AL21" s="657"/>
      <c r="AM21" s="657"/>
      <c r="AN21" s="313"/>
      <c r="AO21" s="313"/>
      <c r="AP21" s="316"/>
    </row>
    <row r="22" spans="1:42" ht="15.6" outlineLevel="1" x14ac:dyDescent="0.3">
      <c r="A22" s="372">
        <v>0</v>
      </c>
      <c r="B22" s="868">
        <f>VLOOKUP(C22,'Vann og Avløp-utslippsfaktorer'!$A$3:$D$82,4,FALSE)</f>
        <v>576</v>
      </c>
      <c r="C22" s="668" t="s">
        <v>605</v>
      </c>
      <c r="D22" s="669"/>
      <c r="E22" s="484">
        <v>0</v>
      </c>
      <c r="F22" s="484">
        <v>100</v>
      </c>
      <c r="G22" s="484">
        <v>0</v>
      </c>
      <c r="H22" s="361">
        <v>0</v>
      </c>
      <c r="I22" s="483" t="s">
        <v>865</v>
      </c>
      <c r="J22" s="360" t="s">
        <v>648</v>
      </c>
      <c r="K22" s="360" t="s">
        <v>871</v>
      </c>
      <c r="L22" s="360" t="s">
        <v>868</v>
      </c>
      <c r="M22" s="374">
        <v>64.47</v>
      </c>
      <c r="N22" s="442">
        <f>_xlfn.XLOOKUP(K22,'Utslippsfaktorer Transport'!$A$27:$A$29,'Utslippsfaktorer Transport'!$F$27:$F$29)</f>
        <v>17.5</v>
      </c>
      <c r="O22" s="902">
        <f>_xlfn.XLOOKUP(L22,'Utslippsfaktorer Transport'!$A$23:$A$25,'Utslippsfaktorer Transport'!$C$23:$C$25)</f>
        <v>0</v>
      </c>
      <c r="P22" s="313"/>
      <c r="Q22" s="313"/>
      <c r="R22" s="313"/>
      <c r="S22" s="313"/>
      <c r="T22" s="316"/>
      <c r="V22" s="868" t="str">
        <f>'Vannbehandling - Resultater'!J8</f>
        <v>Andre kjemikalier og forbruksvarer</v>
      </c>
      <c r="W22" s="910">
        <f>'Vannbehandling - Resultater'!K8</f>
        <v>0</v>
      </c>
      <c r="AG22" s="668" t="s">
        <v>605</v>
      </c>
      <c r="AH22" s="442">
        <f>E22*F22*_xlfn.XLOOKUP(I22,'Utslippsfaktorer Transport'!$A$9:$A$19,'Utslippsfaktorer Transport'!$B$9:$B$19)*_xlfn.XLOOKUP(J22,'Utslippsfaktorer Transport'!$A$33:$A$52,'Utslippsfaktorer Transport'!$B$33:$B$52)/1000</f>
        <v>0</v>
      </c>
      <c r="AI22" s="442">
        <f>E22*F22*_xlfn.XLOOKUP(I22,'Utslippsfaktorer Transport'!$A$9:$A$19,'Utslippsfaktorer Transport'!$B$9:$B$19)*_xlfn.XLOOKUP(J22,'Utslippsfaktorer Transport'!$A$33:$A$52,'Utslippsfaktorer Transport'!$C$33:$C$52)/1000</f>
        <v>0</v>
      </c>
      <c r="AJ22" s="442">
        <f>E22*F22*_xlfn.XLOOKUP(I22,'Utslippsfaktorer Transport'!$A$9:$A$19,'Utslippsfaktorer Transport'!$B$9:$B$19)*_xlfn.XLOOKUP(J22,'Utslippsfaktorer Transport'!$A$33:$A$52,'Utslippsfaktorer Transport'!$D$33:$D$52)/1000</f>
        <v>0</v>
      </c>
      <c r="AK22" s="904">
        <f>E22*G22*_xlfn.XLOOKUP(K22,'Utslippsfaktorer Transport'!$A$26:$A$29,'Utslippsfaktorer Transport'!$F$26:$F$29)/1000</f>
        <v>0</v>
      </c>
      <c r="AL22" s="904">
        <f>E22*G22*_xlfn.XLOOKUP(K22,'Utslippsfaktorer Transport'!$A$26:$A$29,'Utslippsfaktorer Transport'!$G$26:$G$29)/1000</f>
        <v>0</v>
      </c>
      <c r="AM22" s="904">
        <f>E22*G22*_xlfn.XLOOKUP(K22,'Utslippsfaktorer Transport'!$A$26:$A$29,'Utslippsfaktorer Transport'!$H$26:$H$29)/1000</f>
        <v>0</v>
      </c>
      <c r="AN22" s="442">
        <f>H22*E22*_xlfn.XLOOKUP(L22,'Utslippsfaktorer Transport'!$A$23:$A$25,'Utslippsfaktorer Transport'!$C$23:$C$25)/1000</f>
        <v>0</v>
      </c>
      <c r="AO22" s="442">
        <f>H22*E22*_xlfn.XLOOKUP(L22,'Utslippsfaktorer Transport'!$A$23:$A$25,'Utslippsfaktorer Transport'!$D$23:$D$25)/1000</f>
        <v>0</v>
      </c>
      <c r="AP22" s="902">
        <f>H22*E22*_xlfn.XLOOKUP(L22,'Utslippsfaktorer Transport'!$A$23:$A$25,'Utslippsfaktorer Transport'!$E$23:$E$25)/1000</f>
        <v>0</v>
      </c>
    </row>
    <row r="23" spans="1:42" ht="15.6" outlineLevel="1" x14ac:dyDescent="0.3">
      <c r="A23" s="372">
        <v>0</v>
      </c>
      <c r="B23" s="868">
        <f>VLOOKUP(C23,'Vann og Avløp-utslippsfaktorer'!$A$3:$D$82,4,FALSE)</f>
        <v>320</v>
      </c>
      <c r="C23" s="518" t="s">
        <v>620</v>
      </c>
      <c r="D23" s="670"/>
      <c r="E23" s="519">
        <v>0</v>
      </c>
      <c r="F23" s="519">
        <v>100</v>
      </c>
      <c r="G23" s="519">
        <v>0</v>
      </c>
      <c r="H23" s="671">
        <v>0</v>
      </c>
      <c r="I23" s="672" t="s">
        <v>865</v>
      </c>
      <c r="J23" s="519" t="s">
        <v>648</v>
      </c>
      <c r="K23" s="519" t="s">
        <v>871</v>
      </c>
      <c r="L23" s="519" t="s">
        <v>868</v>
      </c>
      <c r="M23" s="673">
        <v>64.47</v>
      </c>
      <c r="N23" s="911">
        <f>_xlfn.XLOOKUP(K23,'Utslippsfaktorer Transport'!$A$27:$A$29,'Utslippsfaktorer Transport'!$F$27:$F$29)</f>
        <v>17.5</v>
      </c>
      <c r="O23" s="912">
        <f>_xlfn.XLOOKUP(L23,'Utslippsfaktorer Transport'!$A$23:$A$25,'Utslippsfaktorer Transport'!$C$23:$C$25)</f>
        <v>0</v>
      </c>
      <c r="P23" s="313"/>
      <c r="Q23" s="313"/>
      <c r="R23" s="313"/>
      <c r="S23" s="313"/>
      <c r="T23" s="316"/>
      <c r="V23" s="913" t="str">
        <f>'Vannbehandling - Resultater'!J9</f>
        <v>Transport</v>
      </c>
      <c r="W23" s="914">
        <f>'Vannbehandling - Resultater'!K9</f>
        <v>0</v>
      </c>
      <c r="AG23" s="668" t="s">
        <v>620</v>
      </c>
      <c r="AH23" s="442">
        <f>E23*F23*_xlfn.XLOOKUP(I23,'Utslippsfaktorer Transport'!$A$9:$A$19,'Utslippsfaktorer Transport'!$B$9:$B$19)*_xlfn.XLOOKUP(J23,'Utslippsfaktorer Transport'!$A$33:$A$52,'Utslippsfaktorer Transport'!$B$33:$B$52)/1000</f>
        <v>0</v>
      </c>
      <c r="AI23" s="442">
        <f>E23*F23*_xlfn.XLOOKUP(I23,'Utslippsfaktorer Transport'!$A$9:$A$19,'Utslippsfaktorer Transport'!$B$9:$B$19)*_xlfn.XLOOKUP(J23,'Utslippsfaktorer Transport'!$A$33:$A$52,'Utslippsfaktorer Transport'!$C$33:$C$52)/1000</f>
        <v>0</v>
      </c>
      <c r="AJ23" s="442">
        <f>E23*F23*_xlfn.XLOOKUP(I23,'Utslippsfaktorer Transport'!$A$9:$A$19,'Utslippsfaktorer Transport'!$B$9:$B$19)*_xlfn.XLOOKUP(J23,'Utslippsfaktorer Transport'!$A$33:$A$52,'Utslippsfaktorer Transport'!$D$33:$D$52)/1000</f>
        <v>0</v>
      </c>
      <c r="AK23" s="904">
        <f>E23*G23*_xlfn.XLOOKUP(K23,'Utslippsfaktorer Transport'!$A$26:$A$29,'Utslippsfaktorer Transport'!$F$26:$F$29)/1000</f>
        <v>0</v>
      </c>
      <c r="AL23" s="904">
        <f>E23*G23*_xlfn.XLOOKUP(K23,'Utslippsfaktorer Transport'!$A$26:$A$29,'Utslippsfaktorer Transport'!$G$26:$G$29)/1000</f>
        <v>0</v>
      </c>
      <c r="AM23" s="904">
        <f>E23*G23*_xlfn.XLOOKUP(K23,'Utslippsfaktorer Transport'!$A$26:$A$29,'Utslippsfaktorer Transport'!$H$26:$H$29)/1000</f>
        <v>0</v>
      </c>
      <c r="AN23" s="442">
        <f>H23*E23*_xlfn.XLOOKUP(L23,'Utslippsfaktorer Transport'!$A$23:$A$25,'Utslippsfaktorer Transport'!$C$23:$C$25)/1000</f>
        <v>0</v>
      </c>
      <c r="AO23" s="442">
        <f>H23*E23*_xlfn.XLOOKUP(L23,'Utslippsfaktorer Transport'!$A$23:$A$25,'Utslippsfaktorer Transport'!$D$23:$D$25)/1000</f>
        <v>0</v>
      </c>
      <c r="AP23" s="902">
        <f>H23*E23*_xlfn.XLOOKUP(L23,'Utslippsfaktorer Transport'!$A$23:$A$25,'Utslippsfaktorer Transport'!$E$23:$E$25)/1000</f>
        <v>0</v>
      </c>
    </row>
    <row r="24" spans="1:42" ht="16.2" outlineLevel="1" thickBot="1" x14ac:dyDescent="0.4">
      <c r="A24" s="674"/>
      <c r="B24" s="658"/>
      <c r="C24" s="432" t="s">
        <v>37</v>
      </c>
      <c r="D24" s="675"/>
      <c r="E24" s="596"/>
      <c r="F24" s="528"/>
      <c r="G24" s="528"/>
      <c r="H24" s="665"/>
      <c r="I24" s="373"/>
      <c r="J24" s="313"/>
      <c r="K24" s="313"/>
      <c r="L24" s="313"/>
      <c r="M24" s="313"/>
      <c r="N24" s="313"/>
      <c r="O24" s="316"/>
      <c r="T24" s="316"/>
      <c r="V24" s="915" t="str">
        <f>'Vannbehandling - Resultater'!J10</f>
        <v>SUM</v>
      </c>
      <c r="W24" s="916">
        <f>'Vannbehandling - Resultater'!K10</f>
        <v>0</v>
      </c>
      <c r="AG24" s="432" t="s">
        <v>37</v>
      </c>
      <c r="AH24" s="313"/>
      <c r="AI24" s="313"/>
      <c r="AJ24" s="313"/>
      <c r="AK24" s="657"/>
      <c r="AL24" s="657"/>
      <c r="AM24" s="657"/>
      <c r="AN24" s="313"/>
      <c r="AO24" s="313"/>
      <c r="AP24" s="316"/>
    </row>
    <row r="25" spans="1:42" ht="16.95" customHeight="1" outlineLevel="1" x14ac:dyDescent="0.3">
      <c r="A25" s="676">
        <v>0</v>
      </c>
      <c r="B25" s="868">
        <f>VLOOKUP(C25,'Vann og Avløp-utslippsfaktorer'!$A$3:$D$82,4,FALSE)</f>
        <v>304</v>
      </c>
      <c r="C25" s="518" t="s">
        <v>272</v>
      </c>
      <c r="D25" s="313"/>
      <c r="E25" s="420">
        <v>0</v>
      </c>
      <c r="F25" s="677">
        <v>100</v>
      </c>
      <c r="G25" s="677">
        <v>0</v>
      </c>
      <c r="H25" s="678">
        <v>0</v>
      </c>
      <c r="I25" s="679" t="s">
        <v>865</v>
      </c>
      <c r="J25" s="677" t="s">
        <v>648</v>
      </c>
      <c r="K25" s="677" t="s">
        <v>871</v>
      </c>
      <c r="L25" s="677" t="s">
        <v>868</v>
      </c>
      <c r="M25" s="917">
        <f>_xlfn.XLOOKUP(I25,'Utslippsfaktorer Transport'!$A$10:$A$19,'Utslippsfaktorer Transport'!$B$10:$B$19)*_xlfn.XLOOKUP(J25,'Utslippsfaktorer Transport'!$A$34:$A$52,'Utslippsfaktorer Transport'!$E$34:$E$52)</f>
        <v>64.47</v>
      </c>
      <c r="N25" s="918">
        <f>_xlfn.XLOOKUP(K25,'Utslippsfaktorer Transport'!$A$27:$A$29,'Utslippsfaktorer Transport'!$F$27:$F$29)</f>
        <v>17.5</v>
      </c>
      <c r="O25" s="919">
        <f>_xlfn.XLOOKUP(L25,'Utslippsfaktorer Transport'!$A$23:$A$25,'Utslippsfaktorer Transport'!$C$23:$C$25)</f>
        <v>0</v>
      </c>
      <c r="T25" s="316"/>
      <c r="AG25" s="518" t="s">
        <v>272</v>
      </c>
      <c r="AH25" s="911">
        <f>E25*F25*_xlfn.XLOOKUP(I25,'Utslippsfaktorer Transport'!$A$9:$A$19,'Utslippsfaktorer Transport'!$B$9:$B$19)*_xlfn.XLOOKUP(J25,'Utslippsfaktorer Transport'!$A$33:$A$52,'Utslippsfaktorer Transport'!$B$33:$B$52)/1000</f>
        <v>0</v>
      </c>
      <c r="AI25" s="911">
        <f>E25*F25*_xlfn.XLOOKUP(I25,'Utslippsfaktorer Transport'!$A$9:$A$19,'Utslippsfaktorer Transport'!$B$9:$B$19)*_xlfn.XLOOKUP(J25,'Utslippsfaktorer Transport'!$A$33:$A$52,'Utslippsfaktorer Transport'!$C$33:$C$52)/1000</f>
        <v>0</v>
      </c>
      <c r="AJ25" s="911">
        <f>E25*F25*_xlfn.XLOOKUP(I25,'Utslippsfaktorer Transport'!$A$9:$A$19,'Utslippsfaktorer Transport'!$B$9:$B$19)*_xlfn.XLOOKUP(J25,'Utslippsfaktorer Transport'!$A$33:$A$52,'Utslippsfaktorer Transport'!$D$33:$D$52)/1000</f>
        <v>0</v>
      </c>
      <c r="AK25" s="920">
        <f>E25*G25*_xlfn.XLOOKUP(K25,'Utslippsfaktorer Transport'!$A$26:$A$29,'Utslippsfaktorer Transport'!$F$26:$F$29)/1000</f>
        <v>0</v>
      </c>
      <c r="AL25" s="920">
        <f>E25*G25*_xlfn.XLOOKUP(K25,'Utslippsfaktorer Transport'!$A$26:$A$29,'Utslippsfaktorer Transport'!$G$26:$G$29)/1000</f>
        <v>0</v>
      </c>
      <c r="AM25" s="920">
        <f>E25*G25*_xlfn.XLOOKUP(K25,'Utslippsfaktorer Transport'!$A$26:$A$29,'Utslippsfaktorer Transport'!$H$26:$H$29)/1000</f>
        <v>0</v>
      </c>
      <c r="AN25" s="911">
        <f>H25*E25*_xlfn.XLOOKUP(L25,'Utslippsfaktorer Transport'!$A$23:$A$25,'Utslippsfaktorer Transport'!$C$23:$C$25)/1000</f>
        <v>0</v>
      </c>
      <c r="AO25" s="911">
        <f>H25*E25*_xlfn.XLOOKUP(L25,'Utslippsfaktorer Transport'!$A$23:$A$25,'Utslippsfaktorer Transport'!$D$23:$D$25)/1000</f>
        <v>0</v>
      </c>
      <c r="AP25" s="912">
        <f>H25*E25*_xlfn.XLOOKUP(L25,'Utslippsfaktorer Transport'!$A$23:$A$25,'Utslippsfaktorer Transport'!$E$23:$E$25)/1000</f>
        <v>0</v>
      </c>
    </row>
    <row r="26" spans="1:42" ht="15.6" outlineLevel="1" x14ac:dyDescent="0.35">
      <c r="A26" s="405"/>
      <c r="B26" s="658"/>
      <c r="C26" s="680" t="s">
        <v>39</v>
      </c>
      <c r="D26" s="675"/>
      <c r="E26" s="673"/>
      <c r="F26" s="673"/>
      <c r="G26" s="673"/>
      <c r="H26" s="523"/>
      <c r="I26" s="373"/>
      <c r="J26" s="313"/>
      <c r="K26" s="313"/>
      <c r="L26" s="313"/>
      <c r="M26" s="313"/>
      <c r="N26" s="313"/>
      <c r="O26" s="316"/>
      <c r="T26" s="316"/>
      <c r="AG26" s="432" t="s">
        <v>39</v>
      </c>
      <c r="AH26" s="313"/>
      <c r="AI26" s="313"/>
      <c r="AJ26" s="313"/>
      <c r="AK26" s="657"/>
      <c r="AL26" s="657"/>
      <c r="AM26" s="657"/>
      <c r="AN26" s="313"/>
      <c r="AO26" s="313"/>
      <c r="AP26" s="316"/>
    </row>
    <row r="27" spans="1:42" outlineLevel="1" x14ac:dyDescent="0.3">
      <c r="A27" s="676">
        <v>0</v>
      </c>
      <c r="B27" s="868">
        <f>VLOOKUP(C27,'Vann og Avløp-utslippsfaktorer'!$A$3:$D$82,4,FALSE)</f>
        <v>82</v>
      </c>
      <c r="C27" s="518" t="s">
        <v>38</v>
      </c>
      <c r="D27" s="313"/>
      <c r="E27" s="360">
        <v>0</v>
      </c>
      <c r="F27" s="360">
        <v>100</v>
      </c>
      <c r="G27" s="360">
        <v>0</v>
      </c>
      <c r="H27" s="361">
        <v>0</v>
      </c>
      <c r="I27" s="679" t="s">
        <v>865</v>
      </c>
      <c r="J27" s="677" t="s">
        <v>648</v>
      </c>
      <c r="K27" s="677" t="s">
        <v>871</v>
      </c>
      <c r="L27" s="677" t="s">
        <v>868</v>
      </c>
      <c r="M27" s="917">
        <f>_xlfn.XLOOKUP(I27,'Utslippsfaktorer Transport'!$A$10:$A$19,'Utslippsfaktorer Transport'!$B$10:$B$19)*_xlfn.XLOOKUP(J27,'Utslippsfaktorer Transport'!$A$34:$A$52,'Utslippsfaktorer Transport'!$E$34:$E$52)</f>
        <v>64.47</v>
      </c>
      <c r="N27" s="918">
        <f>_xlfn.XLOOKUP(K27,'Utslippsfaktorer Transport'!$A$27:$A$29,'Utslippsfaktorer Transport'!$F$27:$F$29)</f>
        <v>17.5</v>
      </c>
      <c r="O27" s="919">
        <f>_xlfn.XLOOKUP(L27,'Utslippsfaktorer Transport'!$A$23:$A$25,'Utslippsfaktorer Transport'!$C$23:$C$25)</f>
        <v>0</v>
      </c>
      <c r="T27" s="316"/>
      <c r="AG27" s="518" t="s">
        <v>38</v>
      </c>
      <c r="AH27" s="911">
        <f>E27*F27*_xlfn.XLOOKUP(I27,'Utslippsfaktorer Transport'!$A$9:$A$19,'Utslippsfaktorer Transport'!$B$9:$B$19)*_xlfn.XLOOKUP(J27,'Utslippsfaktorer Transport'!$A$33:$A$52,'Utslippsfaktorer Transport'!$B$33:$B$52)/1000</f>
        <v>0</v>
      </c>
      <c r="AI27" s="911">
        <f>E27*F27*_xlfn.XLOOKUP(I27,'Utslippsfaktorer Transport'!$A$9:$A$19,'Utslippsfaktorer Transport'!$B$9:$B$19)*_xlfn.XLOOKUP(J27,'Utslippsfaktorer Transport'!$A$33:$A$52,'Utslippsfaktorer Transport'!$C$33:$C$52)/1000</f>
        <v>0</v>
      </c>
      <c r="AJ27" s="911">
        <f>E27*F27*_xlfn.XLOOKUP(I27,'Utslippsfaktorer Transport'!$A$9:$A$19,'Utslippsfaktorer Transport'!$B$9:$B$19)*_xlfn.XLOOKUP(J27,'Utslippsfaktorer Transport'!$A$33:$A$52,'Utslippsfaktorer Transport'!$D$33:$D$52)/1000</f>
        <v>0</v>
      </c>
      <c r="AK27" s="920">
        <f>E27*G27*_xlfn.XLOOKUP(K27,'Utslippsfaktorer Transport'!$A$26:$A$29,'Utslippsfaktorer Transport'!$F$26:$F$29)/1000</f>
        <v>0</v>
      </c>
      <c r="AL27" s="920">
        <f>E27*G27*_xlfn.XLOOKUP(K27,'Utslippsfaktorer Transport'!$A$26:$A$29,'Utslippsfaktorer Transport'!$G$26:$G$29)/1000</f>
        <v>0</v>
      </c>
      <c r="AM27" s="920">
        <f>E27*G27*_xlfn.XLOOKUP(K27,'Utslippsfaktorer Transport'!$A$26:$A$29,'Utslippsfaktorer Transport'!$H$26:$H$29)/1000</f>
        <v>0</v>
      </c>
      <c r="AN27" s="911">
        <f>H27*E27*_xlfn.XLOOKUP(L27,'Utslippsfaktorer Transport'!$A$23:$A$25,'Utslippsfaktorer Transport'!$C$23:$C$25)/1000</f>
        <v>0</v>
      </c>
      <c r="AO27" s="911">
        <f>H27*E27*_xlfn.XLOOKUP(L27,'Utslippsfaktorer Transport'!$A$23:$A$25,'Utslippsfaktorer Transport'!$D$23:$D$25)/1000</f>
        <v>0</v>
      </c>
      <c r="AP27" s="912">
        <f>H27*E27*_xlfn.XLOOKUP(L27,'Utslippsfaktorer Transport'!$A$23:$A$25,'Utslippsfaktorer Transport'!$E$23:$E$25)/1000</f>
        <v>0</v>
      </c>
    </row>
    <row r="28" spans="1:42" ht="15.6" x14ac:dyDescent="0.35">
      <c r="A28" s="405"/>
      <c r="B28" s="658"/>
      <c r="C28" s="680" t="s">
        <v>40</v>
      </c>
      <c r="D28" s="681"/>
      <c r="E28" s="528"/>
      <c r="F28" s="528"/>
      <c r="G28" s="528"/>
      <c r="H28" s="665"/>
      <c r="I28" s="373"/>
      <c r="J28" s="313"/>
      <c r="K28" s="313"/>
      <c r="L28" s="313"/>
      <c r="M28" s="313"/>
      <c r="N28" s="313"/>
      <c r="O28" s="316"/>
      <c r="T28" s="316"/>
      <c r="AG28" s="680" t="s">
        <v>40</v>
      </c>
      <c r="AH28" s="313"/>
      <c r="AI28" s="313"/>
      <c r="AJ28" s="313"/>
      <c r="AK28" s="657"/>
      <c r="AL28" s="657"/>
      <c r="AM28" s="657"/>
      <c r="AN28" s="313"/>
      <c r="AO28" s="313"/>
      <c r="AP28" s="316"/>
    </row>
    <row r="29" spans="1:42" outlineLevel="1" x14ac:dyDescent="0.3">
      <c r="A29" s="676">
        <v>0</v>
      </c>
      <c r="B29" s="868">
        <f>VLOOKUP(C29,'Vann og Avløp-utslippsfaktorer'!$A$3:$D$82,4,FALSE)</f>
        <v>153</v>
      </c>
      <c r="C29" s="518" t="s">
        <v>41</v>
      </c>
      <c r="D29" s="313"/>
      <c r="E29" s="360">
        <v>0</v>
      </c>
      <c r="F29" s="360">
        <v>100</v>
      </c>
      <c r="G29" s="360">
        <v>0</v>
      </c>
      <c r="H29" s="361">
        <v>0</v>
      </c>
      <c r="I29" s="679" t="s">
        <v>865</v>
      </c>
      <c r="J29" s="677" t="s">
        <v>648</v>
      </c>
      <c r="K29" s="677" t="s">
        <v>871</v>
      </c>
      <c r="L29" s="677" t="s">
        <v>868</v>
      </c>
      <c r="M29" s="917">
        <f>_xlfn.XLOOKUP(I29,'Utslippsfaktorer Transport'!$A$10:$A$19,'Utslippsfaktorer Transport'!$B$10:$B$19)*_xlfn.XLOOKUP(J29,'Utslippsfaktorer Transport'!$A$34:$A$52,'Utslippsfaktorer Transport'!$E$34:$E$52)</f>
        <v>64.47</v>
      </c>
      <c r="N29" s="918">
        <f>_xlfn.XLOOKUP(K29,'Utslippsfaktorer Transport'!$A$27:$A$29,'Utslippsfaktorer Transport'!$F$27:$F$29)</f>
        <v>17.5</v>
      </c>
      <c r="O29" s="919">
        <f>_xlfn.XLOOKUP(L29,'Utslippsfaktorer Transport'!$A$23:$A$25,'Utslippsfaktorer Transport'!$C$23:$C$25)</f>
        <v>0</v>
      </c>
      <c r="T29" s="316"/>
      <c r="AG29" s="518" t="s">
        <v>41</v>
      </c>
      <c r="AH29" s="911">
        <f>E29*F29*_xlfn.XLOOKUP(I29,'Utslippsfaktorer Transport'!$A$9:$A$19,'Utslippsfaktorer Transport'!$B$9:$B$19)*_xlfn.XLOOKUP(J29,'Utslippsfaktorer Transport'!$A$33:$A$52,'Utslippsfaktorer Transport'!$B$33:$B$52)/1000</f>
        <v>0</v>
      </c>
      <c r="AI29" s="911">
        <f>E29*F29*_xlfn.XLOOKUP(I29,'Utslippsfaktorer Transport'!$A$9:$A$19,'Utslippsfaktorer Transport'!$B$9:$B$19)*_xlfn.XLOOKUP(J29,'Utslippsfaktorer Transport'!$A$33:$A$52,'Utslippsfaktorer Transport'!$C$33:$C$52)/1000</f>
        <v>0</v>
      </c>
      <c r="AJ29" s="911">
        <f>E29*F29*_xlfn.XLOOKUP(I29,'Utslippsfaktorer Transport'!$A$9:$A$19,'Utslippsfaktorer Transport'!$B$9:$B$19)*_xlfn.XLOOKUP(J29,'Utslippsfaktorer Transport'!$A$33:$A$52,'Utslippsfaktorer Transport'!$D$33:$D$52)/1000</f>
        <v>0</v>
      </c>
      <c r="AK29" s="920">
        <f>E29*G29*_xlfn.XLOOKUP(K29,'Utslippsfaktorer Transport'!$A$26:$A$29,'Utslippsfaktorer Transport'!$F$26:$F$29)/1000</f>
        <v>0</v>
      </c>
      <c r="AL29" s="920">
        <f>E29*G29*_xlfn.XLOOKUP(K29,'Utslippsfaktorer Transport'!$A$26:$A$29,'Utslippsfaktorer Transport'!$G$26:$G$29)/1000</f>
        <v>0</v>
      </c>
      <c r="AM29" s="920">
        <f>E29*G29*_xlfn.XLOOKUP(K29,'Utslippsfaktorer Transport'!$A$26:$A$29,'Utslippsfaktorer Transport'!$H$26:$H$29)/1000</f>
        <v>0</v>
      </c>
      <c r="AN29" s="911">
        <f>H29*E29*_xlfn.XLOOKUP(L29,'Utslippsfaktorer Transport'!$A$23:$A$25,'Utslippsfaktorer Transport'!$C$23:$C$25)/1000</f>
        <v>0</v>
      </c>
      <c r="AO29" s="911">
        <f>H29*E29*_xlfn.XLOOKUP(L29,'Utslippsfaktorer Transport'!$A$23:$A$25,'Utslippsfaktorer Transport'!$D$23:$D$25)/1000</f>
        <v>0</v>
      </c>
      <c r="AP29" s="912">
        <f>H29*E29*_xlfn.XLOOKUP(L29,'Utslippsfaktorer Transport'!$A$23:$A$25,'Utslippsfaktorer Transport'!$E$23:$E$25)/1000</f>
        <v>0</v>
      </c>
    </row>
    <row r="30" spans="1:42" ht="15.6" outlineLevel="1" x14ac:dyDescent="0.35">
      <c r="A30" s="405"/>
      <c r="B30" s="658"/>
      <c r="C30" s="680" t="s">
        <v>42</v>
      </c>
      <c r="D30" s="681"/>
      <c r="E30" s="528"/>
      <c r="F30" s="528"/>
      <c r="G30" s="528"/>
      <c r="H30" s="665"/>
      <c r="I30" s="373"/>
      <c r="J30" s="313"/>
      <c r="K30" s="313"/>
      <c r="L30" s="313"/>
      <c r="M30" s="313"/>
      <c r="N30" s="313"/>
      <c r="O30" s="316"/>
      <c r="T30" s="316"/>
      <c r="AG30" s="680" t="s">
        <v>42</v>
      </c>
      <c r="AH30" s="313"/>
      <c r="AI30" s="313"/>
      <c r="AJ30" s="313"/>
      <c r="AK30" s="657"/>
      <c r="AL30" s="657"/>
      <c r="AM30" s="657"/>
      <c r="AN30" s="313"/>
      <c r="AO30" s="313"/>
      <c r="AP30" s="316"/>
    </row>
    <row r="31" spans="1:42" outlineLevel="1" x14ac:dyDescent="0.3">
      <c r="A31" s="372">
        <v>0</v>
      </c>
      <c r="B31" s="868">
        <f>VLOOKUP(C31,'Vann og Avløp-utslippsfaktorer'!$A$3:$D$82,4,FALSE)</f>
        <v>145</v>
      </c>
      <c r="C31" s="373" t="s">
        <v>383</v>
      </c>
      <c r="D31" s="313"/>
      <c r="E31" s="360">
        <v>0</v>
      </c>
      <c r="F31" s="360">
        <v>100</v>
      </c>
      <c r="G31" s="360">
        <v>0</v>
      </c>
      <c r="H31" s="361">
        <v>0</v>
      </c>
      <c r="I31" s="682" t="s">
        <v>865</v>
      </c>
      <c r="J31" s="484" t="s">
        <v>648</v>
      </c>
      <c r="K31" s="484" t="s">
        <v>871</v>
      </c>
      <c r="L31" s="484" t="s">
        <v>868</v>
      </c>
      <c r="M31" s="899">
        <f>_xlfn.XLOOKUP(I31,'Utslippsfaktorer Transport'!$A$10:$A$19,'Utslippsfaktorer Transport'!$B$10:$B$19)*_xlfn.XLOOKUP(J31,'Utslippsfaktorer Transport'!$A$34:$A$52,'Utslippsfaktorer Transport'!$E$34:$E$52)</f>
        <v>64.47</v>
      </c>
      <c r="N31" s="900">
        <f>_xlfn.XLOOKUP(K31,'Utslippsfaktorer Transport'!$A$27:$A$29,'Utslippsfaktorer Transport'!$F$27:$F$29)</f>
        <v>17.5</v>
      </c>
      <c r="O31" s="901">
        <f>_xlfn.XLOOKUP(L31,'Utslippsfaktorer Transport'!$A$23:$A$25,'Utslippsfaktorer Transport'!$C$23:$C$25)</f>
        <v>0</v>
      </c>
      <c r="T31" s="316"/>
      <c r="AG31" s="373" t="s">
        <v>383</v>
      </c>
      <c r="AH31" s="442">
        <f>E31*F31*_xlfn.XLOOKUP(I31,'Utslippsfaktorer Transport'!$A$9:$A$19,'Utslippsfaktorer Transport'!$B$9:$B$19)*_xlfn.XLOOKUP(J31,'Utslippsfaktorer Transport'!$A$33:$A$52,'Utslippsfaktorer Transport'!$B$33:$B$52)/1000</f>
        <v>0</v>
      </c>
      <c r="AI31" s="442">
        <f>E31*F31*_xlfn.XLOOKUP(I31,'Utslippsfaktorer Transport'!$A$9:$A$19,'Utslippsfaktorer Transport'!$B$9:$B$19)*_xlfn.XLOOKUP(J31,'Utslippsfaktorer Transport'!$A$33:$A$52,'Utslippsfaktorer Transport'!$C$33:$C$52)/1000</f>
        <v>0</v>
      </c>
      <c r="AJ31" s="442">
        <f>E31*F31*_xlfn.XLOOKUP(I31,'Utslippsfaktorer Transport'!$A$9:$A$19,'Utslippsfaktorer Transport'!$B$9:$B$19)*_xlfn.XLOOKUP(J31,'Utslippsfaktorer Transport'!$A$33:$A$52,'Utslippsfaktorer Transport'!$D$33:$D$52)/1000</f>
        <v>0</v>
      </c>
      <c r="AK31" s="904">
        <f>E31*G31*_xlfn.XLOOKUP(K31,'Utslippsfaktorer Transport'!$A$26:$A$29,'Utslippsfaktorer Transport'!$F$26:$F$29)/1000</f>
        <v>0</v>
      </c>
      <c r="AL31" s="904">
        <f>E31*G31*_xlfn.XLOOKUP(K31,'Utslippsfaktorer Transport'!$A$26:$A$29,'Utslippsfaktorer Transport'!$G$26:$G$29)/1000</f>
        <v>0</v>
      </c>
      <c r="AM31" s="904">
        <f>E31*G31*_xlfn.XLOOKUP(K31,'Utslippsfaktorer Transport'!$A$26:$A$29,'Utslippsfaktorer Transport'!$H$26:$H$29)/1000</f>
        <v>0</v>
      </c>
      <c r="AN31" s="442">
        <f>H31*E31*_xlfn.XLOOKUP(L31,'Utslippsfaktorer Transport'!$A$23:$A$25,'Utslippsfaktorer Transport'!$C$23:$C$25)/1000</f>
        <v>0</v>
      </c>
      <c r="AO31" s="442">
        <f>H31*E31*_xlfn.XLOOKUP(L31,'Utslippsfaktorer Transport'!$A$23:$A$25,'Utslippsfaktorer Transport'!$D$23:$D$25)/1000</f>
        <v>0</v>
      </c>
      <c r="AP31" s="902">
        <f>H31*E31*_xlfn.XLOOKUP(L31,'Utslippsfaktorer Transport'!$A$23:$A$25,'Utslippsfaktorer Transport'!$E$23:$E$25)/1000</f>
        <v>0</v>
      </c>
    </row>
    <row r="32" spans="1:42" outlineLevel="1" x14ac:dyDescent="0.3">
      <c r="A32" s="676">
        <v>0</v>
      </c>
      <c r="B32" s="868">
        <f>VLOOKUP(C32,'Vann og Avløp-utslippsfaktorer'!$A$3:$D$82,4,FALSE)</f>
        <v>145</v>
      </c>
      <c r="C32" s="518" t="s">
        <v>43</v>
      </c>
      <c r="D32" s="313"/>
      <c r="E32" s="360">
        <v>0</v>
      </c>
      <c r="F32" s="360">
        <v>100</v>
      </c>
      <c r="G32" s="360">
        <v>0</v>
      </c>
      <c r="H32" s="361">
        <v>0</v>
      </c>
      <c r="I32" s="672" t="s">
        <v>865</v>
      </c>
      <c r="J32" s="519" t="s">
        <v>648</v>
      </c>
      <c r="K32" s="519" t="s">
        <v>871</v>
      </c>
      <c r="L32" s="519" t="s">
        <v>868</v>
      </c>
      <c r="M32" s="921">
        <f>_xlfn.XLOOKUP(I32,'Utslippsfaktorer Transport'!$A$10:$A$19,'Utslippsfaktorer Transport'!$B$10:$B$19)*_xlfn.XLOOKUP(J32,'Utslippsfaktorer Transport'!$A$34:$A$52,'Utslippsfaktorer Transport'!$E$34:$E$52)</f>
        <v>64.47</v>
      </c>
      <c r="N32" s="911">
        <f>_xlfn.XLOOKUP(K32,'Utslippsfaktorer Transport'!$A$27:$A$29,'Utslippsfaktorer Transport'!$F$27:$F$29)</f>
        <v>17.5</v>
      </c>
      <c r="O32" s="912">
        <f>_xlfn.XLOOKUP(L32,'Utslippsfaktorer Transport'!$A$23:$A$25,'Utslippsfaktorer Transport'!$C$23:$C$25)</f>
        <v>0</v>
      </c>
      <c r="T32" s="316"/>
      <c r="AG32" s="518" t="s">
        <v>43</v>
      </c>
      <c r="AH32" s="911">
        <f>E32*F32*_xlfn.XLOOKUP(I32,'Utslippsfaktorer Transport'!$A$9:$A$19,'Utslippsfaktorer Transport'!$B$9:$B$19)*_xlfn.XLOOKUP(J32,'Utslippsfaktorer Transport'!$A$33:$A$52,'Utslippsfaktorer Transport'!$B$33:$B$52)/1000</f>
        <v>0</v>
      </c>
      <c r="AI32" s="911">
        <f>E32*F32*_xlfn.XLOOKUP(I32,'Utslippsfaktorer Transport'!$A$9:$A$19,'Utslippsfaktorer Transport'!$B$9:$B$19)*_xlfn.XLOOKUP(J32,'Utslippsfaktorer Transport'!$A$33:$A$52,'Utslippsfaktorer Transport'!$C$33:$C$52)/1000</f>
        <v>0</v>
      </c>
      <c r="AJ32" s="911">
        <f>E32*F32*_xlfn.XLOOKUP(I32,'Utslippsfaktorer Transport'!$A$9:$A$19,'Utslippsfaktorer Transport'!$B$9:$B$19)*_xlfn.XLOOKUP(J32,'Utslippsfaktorer Transport'!$A$33:$A$52,'Utslippsfaktorer Transport'!$D$33:$D$52)/1000</f>
        <v>0</v>
      </c>
      <c r="AK32" s="920">
        <f>E32*G32*_xlfn.XLOOKUP(K32,'Utslippsfaktorer Transport'!$A$26:$A$29,'Utslippsfaktorer Transport'!$F$26:$F$29)/1000</f>
        <v>0</v>
      </c>
      <c r="AL32" s="920">
        <f>E32*G32*_xlfn.XLOOKUP(K32,'Utslippsfaktorer Transport'!$A$26:$A$29,'Utslippsfaktorer Transport'!$G$26:$G$29)/1000</f>
        <v>0</v>
      </c>
      <c r="AM32" s="920">
        <f>E32*G32*_xlfn.XLOOKUP(K32,'Utslippsfaktorer Transport'!$A$26:$A$29,'Utslippsfaktorer Transport'!$H$26:$H$29)/1000</f>
        <v>0</v>
      </c>
      <c r="AN32" s="911">
        <f>H32*E32*_xlfn.XLOOKUP(L32,'Utslippsfaktorer Transport'!$A$23:$A$25,'Utslippsfaktorer Transport'!$C$23:$C$25)/1000</f>
        <v>0</v>
      </c>
      <c r="AO32" s="911">
        <f>H32*E32*_xlfn.XLOOKUP(L32,'Utslippsfaktorer Transport'!$A$23:$A$25,'Utslippsfaktorer Transport'!$D$23:$D$25)/1000</f>
        <v>0</v>
      </c>
      <c r="AP32" s="912">
        <f>H32*E32*_xlfn.XLOOKUP(L32,'Utslippsfaktorer Transport'!$A$23:$A$25,'Utslippsfaktorer Transport'!$E$23:$E$25)/1000</f>
        <v>0</v>
      </c>
    </row>
    <row r="33" spans="1:42" outlineLevel="1" x14ac:dyDescent="0.3">
      <c r="A33" s="405"/>
      <c r="B33" s="658"/>
      <c r="C33" s="432" t="s">
        <v>44</v>
      </c>
      <c r="D33" s="675"/>
      <c r="E33" s="528"/>
      <c r="F33" s="528"/>
      <c r="G33" s="528"/>
      <c r="H33" s="665"/>
      <c r="I33" s="373"/>
      <c r="J33" s="313"/>
      <c r="K33" s="313"/>
      <c r="L33" s="313"/>
      <c r="M33" s="313"/>
      <c r="N33" s="313"/>
      <c r="O33" s="316"/>
      <c r="T33" s="316"/>
      <c r="AG33" s="432" t="s">
        <v>44</v>
      </c>
      <c r="AH33" s="313"/>
      <c r="AI33" s="313"/>
      <c r="AJ33" s="313"/>
      <c r="AK33" s="657"/>
      <c r="AL33" s="657"/>
      <c r="AM33" s="657"/>
      <c r="AN33" s="313"/>
      <c r="AO33" s="313"/>
      <c r="AP33" s="316"/>
    </row>
    <row r="34" spans="1:42" outlineLevel="1" x14ac:dyDescent="0.3">
      <c r="A34" s="676">
        <v>0</v>
      </c>
      <c r="B34" s="868">
        <f>VLOOKUP(C34,'Vann og Avløp-utslippsfaktorer'!$A$3:$D$82,4,FALSE)</f>
        <v>420</v>
      </c>
      <c r="C34" s="518" t="s">
        <v>45</v>
      </c>
      <c r="D34" s="313"/>
      <c r="E34" s="360">
        <v>0</v>
      </c>
      <c r="F34" s="360">
        <v>100</v>
      </c>
      <c r="G34" s="360">
        <v>0</v>
      </c>
      <c r="H34" s="361">
        <v>0</v>
      </c>
      <c r="I34" s="679" t="s">
        <v>865</v>
      </c>
      <c r="J34" s="677" t="s">
        <v>648</v>
      </c>
      <c r="K34" s="677" t="s">
        <v>871</v>
      </c>
      <c r="L34" s="677" t="s">
        <v>868</v>
      </c>
      <c r="M34" s="917">
        <f>_xlfn.XLOOKUP(I34,'Utslippsfaktorer Transport'!$A$10:$A$19,'Utslippsfaktorer Transport'!$B$10:$B$19)*_xlfn.XLOOKUP(J34,'Utslippsfaktorer Transport'!$A$34:$A$52,'Utslippsfaktorer Transport'!$E$34:$E$52)</f>
        <v>64.47</v>
      </c>
      <c r="N34" s="918">
        <f>_xlfn.XLOOKUP(K34,'Utslippsfaktorer Transport'!$A$27:$A$29,'Utslippsfaktorer Transport'!$F$27:$F$29)</f>
        <v>17.5</v>
      </c>
      <c r="O34" s="919">
        <f>_xlfn.XLOOKUP(L34,'Utslippsfaktorer Transport'!$A$23:$A$25,'Utslippsfaktorer Transport'!$C$23:$C$25)</f>
        <v>0</v>
      </c>
      <c r="T34" s="316"/>
      <c r="AG34" s="518" t="s">
        <v>45</v>
      </c>
      <c r="AH34" s="911">
        <f>E34*F34*_xlfn.XLOOKUP(I34,'Utslippsfaktorer Transport'!$A$9:$A$19,'Utslippsfaktorer Transport'!$B$9:$B$19)*_xlfn.XLOOKUP(J34,'Utslippsfaktorer Transport'!$A$33:$A$52,'Utslippsfaktorer Transport'!$B$33:$B$52)/1000</f>
        <v>0</v>
      </c>
      <c r="AI34" s="911">
        <f>E34*F34*_xlfn.XLOOKUP(I34,'Utslippsfaktorer Transport'!$A$9:$A$19,'Utslippsfaktorer Transport'!$B$9:$B$19)*_xlfn.XLOOKUP(J34,'Utslippsfaktorer Transport'!$A$33:$A$52,'Utslippsfaktorer Transport'!$C$33:$C$52)/1000</f>
        <v>0</v>
      </c>
      <c r="AJ34" s="911">
        <f>E34*F34*_xlfn.XLOOKUP(I34,'Utslippsfaktorer Transport'!$A$9:$A$19,'Utslippsfaktorer Transport'!$B$9:$B$19)*_xlfn.XLOOKUP(J34,'Utslippsfaktorer Transport'!$A$33:$A$52,'Utslippsfaktorer Transport'!$D$33:$D$52)/1000</f>
        <v>0</v>
      </c>
      <c r="AK34" s="920">
        <f>E34*G34*_xlfn.XLOOKUP(K34,'Utslippsfaktorer Transport'!$A$26:$A$29,'Utslippsfaktorer Transport'!$F$26:$F$29)/1000</f>
        <v>0</v>
      </c>
      <c r="AL34" s="920">
        <f>E34*G34*_xlfn.XLOOKUP(K34,'Utslippsfaktorer Transport'!$A$26:$A$29,'Utslippsfaktorer Transport'!$G$26:$G$29)/1000</f>
        <v>0</v>
      </c>
      <c r="AM34" s="920">
        <f>E34*G34*_xlfn.XLOOKUP(K34,'Utslippsfaktorer Transport'!$A$26:$A$29,'Utslippsfaktorer Transport'!$H$26:$H$29)/1000</f>
        <v>0</v>
      </c>
      <c r="AN34" s="911">
        <f>H34*E34*_xlfn.XLOOKUP(L34,'Utslippsfaktorer Transport'!$A$23:$A$25,'Utslippsfaktorer Transport'!$C$23:$C$25)/1000</f>
        <v>0</v>
      </c>
      <c r="AO34" s="911">
        <f>H34*E34*_xlfn.XLOOKUP(L34,'Utslippsfaktorer Transport'!$A$23:$A$25,'Utslippsfaktorer Transport'!$D$23:$D$25)/1000</f>
        <v>0</v>
      </c>
      <c r="AP34" s="912">
        <f>H34*E34*_xlfn.XLOOKUP(L34,'Utslippsfaktorer Transport'!$A$23:$A$25,'Utslippsfaktorer Transport'!$E$23:$E$25)/1000</f>
        <v>0</v>
      </c>
    </row>
    <row r="35" spans="1:42" outlineLevel="1" x14ac:dyDescent="0.3">
      <c r="A35" s="405"/>
      <c r="B35" s="658"/>
      <c r="C35" s="680" t="s">
        <v>46</v>
      </c>
      <c r="D35" s="681"/>
      <c r="E35" s="528"/>
      <c r="F35" s="528"/>
      <c r="G35" s="528"/>
      <c r="H35" s="665"/>
      <c r="I35" s="373"/>
      <c r="J35" s="313"/>
      <c r="K35" s="313"/>
      <c r="L35" s="313"/>
      <c r="M35" s="313"/>
      <c r="N35" s="313"/>
      <c r="O35" s="316"/>
      <c r="T35" s="316"/>
      <c r="AG35" s="680" t="s">
        <v>46</v>
      </c>
      <c r="AH35" s="313"/>
      <c r="AI35" s="313"/>
      <c r="AJ35" s="313"/>
      <c r="AK35" s="657"/>
      <c r="AL35" s="657"/>
      <c r="AM35" s="657"/>
      <c r="AN35" s="313"/>
      <c r="AO35" s="313"/>
      <c r="AP35" s="316"/>
    </row>
    <row r="36" spans="1:42" outlineLevel="1" x14ac:dyDescent="0.3">
      <c r="A36" s="372">
        <v>0</v>
      </c>
      <c r="B36" s="868">
        <f>VLOOKUP(C36,'Vann og Avløp-utslippsfaktorer'!$A$3:$D$82,4,FALSE)</f>
        <v>455</v>
      </c>
      <c r="C36" s="373" t="s">
        <v>47</v>
      </c>
      <c r="D36" s="313"/>
      <c r="E36" s="360">
        <v>0</v>
      </c>
      <c r="F36" s="360">
        <v>100</v>
      </c>
      <c r="G36" s="360">
        <v>0</v>
      </c>
      <c r="H36" s="361">
        <v>0</v>
      </c>
      <c r="I36" s="682" t="s">
        <v>865</v>
      </c>
      <c r="J36" s="484" t="s">
        <v>648</v>
      </c>
      <c r="K36" s="484" t="s">
        <v>871</v>
      </c>
      <c r="L36" s="484" t="s">
        <v>868</v>
      </c>
      <c r="M36" s="899">
        <f>_xlfn.XLOOKUP(I36,'Utslippsfaktorer Transport'!$A$10:$A$19,'Utslippsfaktorer Transport'!$B$10:$B$19)*_xlfn.XLOOKUP(J36,'Utslippsfaktorer Transport'!$A$34:$A$52,'Utslippsfaktorer Transport'!$E$34:$E$52)</f>
        <v>64.47</v>
      </c>
      <c r="N36" s="900">
        <f>_xlfn.XLOOKUP(K36,'Utslippsfaktorer Transport'!$A$27:$A$29,'Utslippsfaktorer Transport'!$F$27:$F$29)</f>
        <v>17.5</v>
      </c>
      <c r="O36" s="901">
        <f>_xlfn.XLOOKUP(L36,'Utslippsfaktorer Transport'!$A$23:$A$25,'Utslippsfaktorer Transport'!$C$23:$C$25)</f>
        <v>0</v>
      </c>
      <c r="T36" s="316"/>
      <c r="AG36" s="373" t="s">
        <v>47</v>
      </c>
      <c r="AH36" s="442">
        <f>E36*F36*_xlfn.XLOOKUP(I36,'Utslippsfaktorer Transport'!$A$9:$A$19,'Utslippsfaktorer Transport'!$B$9:$B$19)*_xlfn.XLOOKUP(J36,'Utslippsfaktorer Transport'!$A$33:$A$52,'Utslippsfaktorer Transport'!$B$33:$B$52)/1000</f>
        <v>0</v>
      </c>
      <c r="AI36" s="442">
        <f>E36*F36*_xlfn.XLOOKUP(I36,'Utslippsfaktorer Transport'!$A$9:$A$19,'Utslippsfaktorer Transport'!$B$9:$B$19)*_xlfn.XLOOKUP(J36,'Utslippsfaktorer Transport'!$A$33:$A$52,'Utslippsfaktorer Transport'!$C$33:$C$52)/1000</f>
        <v>0</v>
      </c>
      <c r="AJ36" s="442">
        <f>E36*F36*_xlfn.XLOOKUP(I36,'Utslippsfaktorer Transport'!$A$9:$A$19,'Utslippsfaktorer Transport'!$B$9:$B$19)*_xlfn.XLOOKUP(J36,'Utslippsfaktorer Transport'!$A$33:$A$52,'Utslippsfaktorer Transport'!$D$33:$D$52)/1000</f>
        <v>0</v>
      </c>
      <c r="AK36" s="904">
        <f>E36*G36*_xlfn.XLOOKUP(K36,'Utslippsfaktorer Transport'!$A$26:$A$29,'Utslippsfaktorer Transport'!$F$26:$F$29)/1000</f>
        <v>0</v>
      </c>
      <c r="AL36" s="904">
        <f>E36*G36*_xlfn.XLOOKUP(K36,'Utslippsfaktorer Transport'!$A$26:$A$29,'Utslippsfaktorer Transport'!$G$26:$G$29)/1000</f>
        <v>0</v>
      </c>
      <c r="AM36" s="904">
        <f>E36*G36*_xlfn.XLOOKUP(K36,'Utslippsfaktorer Transport'!$A$26:$A$29,'Utslippsfaktorer Transport'!$H$26:$H$29)/1000</f>
        <v>0</v>
      </c>
      <c r="AN36" s="442">
        <f>H36*E36*_xlfn.XLOOKUP(L36,'Utslippsfaktorer Transport'!$A$23:$A$25,'Utslippsfaktorer Transport'!$C$23:$C$25)/1000</f>
        <v>0</v>
      </c>
      <c r="AO36" s="442">
        <f>H36*E36*_xlfn.XLOOKUP(L36,'Utslippsfaktorer Transport'!$A$23:$A$25,'Utslippsfaktorer Transport'!$D$23:$D$25)/1000</f>
        <v>0</v>
      </c>
      <c r="AP36" s="902">
        <f>H36*E36*_xlfn.XLOOKUP(L36,'Utslippsfaktorer Transport'!$A$23:$A$25,'Utslippsfaktorer Transport'!$E$23:$E$25)/1000</f>
        <v>0</v>
      </c>
    </row>
    <row r="37" spans="1:42" outlineLevel="1" x14ac:dyDescent="0.3">
      <c r="A37" s="372">
        <v>0</v>
      </c>
      <c r="B37" s="868">
        <f>VLOOKUP(C37,'Vann og Avløp-utslippsfaktorer'!$A$3:$D$82,4,FALSE)</f>
        <v>379</v>
      </c>
      <c r="C37" s="373" t="s">
        <v>48</v>
      </c>
      <c r="D37" s="313"/>
      <c r="E37" s="360">
        <v>0</v>
      </c>
      <c r="F37" s="360">
        <v>100</v>
      </c>
      <c r="G37" s="360">
        <v>0</v>
      </c>
      <c r="H37" s="361">
        <v>0</v>
      </c>
      <c r="I37" s="483" t="s">
        <v>865</v>
      </c>
      <c r="J37" s="360" t="s">
        <v>648</v>
      </c>
      <c r="K37" s="360" t="s">
        <v>871</v>
      </c>
      <c r="L37" s="360" t="s">
        <v>868</v>
      </c>
      <c r="M37" s="473">
        <f>_xlfn.XLOOKUP(I37,'Utslippsfaktorer Transport'!$A$10:$A$19,'Utslippsfaktorer Transport'!$B$10:$B$19)*_xlfn.XLOOKUP(J37,'Utslippsfaktorer Transport'!$A$34:$A$52,'Utslippsfaktorer Transport'!$E$34:$E$52)</f>
        <v>64.47</v>
      </c>
      <c r="N37" s="442">
        <f>_xlfn.XLOOKUP(K37,'Utslippsfaktorer Transport'!$A$27:$A$29,'Utslippsfaktorer Transport'!$F$27:$F$29)</f>
        <v>17.5</v>
      </c>
      <c r="O37" s="902">
        <f>_xlfn.XLOOKUP(L37,'Utslippsfaktorer Transport'!$A$23:$A$25,'Utslippsfaktorer Transport'!$C$23:$C$25)</f>
        <v>0</v>
      </c>
      <c r="T37" s="316"/>
      <c r="AG37" s="373" t="s">
        <v>48</v>
      </c>
      <c r="AH37" s="442">
        <f>E37*F37*_xlfn.XLOOKUP(I37,'Utslippsfaktorer Transport'!$A$9:$A$19,'Utslippsfaktorer Transport'!$B$9:$B$19)*_xlfn.XLOOKUP(J37,'Utslippsfaktorer Transport'!$A$33:$A$52,'Utslippsfaktorer Transport'!$B$33:$B$52)/1000</f>
        <v>0</v>
      </c>
      <c r="AI37" s="442">
        <f>E37*F37*_xlfn.XLOOKUP(I37,'Utslippsfaktorer Transport'!$A$9:$A$19,'Utslippsfaktorer Transport'!$B$9:$B$19)*_xlfn.XLOOKUP(J37,'Utslippsfaktorer Transport'!$A$33:$A$52,'Utslippsfaktorer Transport'!$C$33:$C$52)/1000</f>
        <v>0</v>
      </c>
      <c r="AJ37" s="442">
        <f>E37*F37*_xlfn.XLOOKUP(I37,'Utslippsfaktorer Transport'!$A$9:$A$19,'Utslippsfaktorer Transport'!$B$9:$B$19)*_xlfn.XLOOKUP(J37,'Utslippsfaktorer Transport'!$A$33:$A$52,'Utslippsfaktorer Transport'!$D$33:$D$52)/1000</f>
        <v>0</v>
      </c>
      <c r="AK37" s="904">
        <f>E37*G37*_xlfn.XLOOKUP(K37,'Utslippsfaktorer Transport'!$A$26:$A$29,'Utslippsfaktorer Transport'!$F$26:$F$29)/1000</f>
        <v>0</v>
      </c>
      <c r="AL37" s="904">
        <f>E37*G37*_xlfn.XLOOKUP(K37,'Utslippsfaktorer Transport'!$A$26:$A$29,'Utslippsfaktorer Transport'!$G$26:$G$29)/1000</f>
        <v>0</v>
      </c>
      <c r="AM37" s="904">
        <f>E37*G37*_xlfn.XLOOKUP(K37,'Utslippsfaktorer Transport'!$A$26:$A$29,'Utslippsfaktorer Transport'!$H$26:$H$29)/1000</f>
        <v>0</v>
      </c>
      <c r="AN37" s="442">
        <f>H37*E37*_xlfn.XLOOKUP(L37,'Utslippsfaktorer Transport'!$A$23:$A$25,'Utslippsfaktorer Transport'!$C$23:$C$25)/1000</f>
        <v>0</v>
      </c>
      <c r="AO37" s="442">
        <f>H37*E37*_xlfn.XLOOKUP(L37,'Utslippsfaktorer Transport'!$A$23:$A$25,'Utslippsfaktorer Transport'!$D$23:$D$25)/1000</f>
        <v>0</v>
      </c>
      <c r="AP37" s="902">
        <f>H37*E37*_xlfn.XLOOKUP(L37,'Utslippsfaktorer Transport'!$A$23:$A$25,'Utslippsfaktorer Transport'!$E$23:$E$25)/1000</f>
        <v>0</v>
      </c>
    </row>
    <row r="38" spans="1:42" outlineLevel="1" x14ac:dyDescent="0.3">
      <c r="A38" s="372">
        <v>0</v>
      </c>
      <c r="B38" s="868">
        <f>VLOOKUP(C38,'Vann og Avløp-utslippsfaktorer'!$A$3:$D$82,4,FALSE)</f>
        <v>470</v>
      </c>
      <c r="C38" s="373" t="s">
        <v>49</v>
      </c>
      <c r="D38" s="313"/>
      <c r="E38" s="360">
        <v>0</v>
      </c>
      <c r="F38" s="360">
        <v>100</v>
      </c>
      <c r="G38" s="360">
        <v>0</v>
      </c>
      <c r="H38" s="361">
        <v>0</v>
      </c>
      <c r="I38" s="483" t="s">
        <v>865</v>
      </c>
      <c r="J38" s="360" t="s">
        <v>648</v>
      </c>
      <c r="K38" s="360" t="s">
        <v>871</v>
      </c>
      <c r="L38" s="360" t="s">
        <v>868</v>
      </c>
      <c r="M38" s="473">
        <f>_xlfn.XLOOKUP(I38,'Utslippsfaktorer Transport'!$A$10:$A$19,'Utslippsfaktorer Transport'!$B$10:$B$19)*_xlfn.XLOOKUP(J38,'Utslippsfaktorer Transport'!$A$34:$A$52,'Utslippsfaktorer Transport'!$E$34:$E$52)</f>
        <v>64.47</v>
      </c>
      <c r="N38" s="442">
        <f>_xlfn.XLOOKUP(K38,'Utslippsfaktorer Transport'!$A$27:$A$29,'Utslippsfaktorer Transport'!$F$27:$F$29)</f>
        <v>17.5</v>
      </c>
      <c r="O38" s="902">
        <f>_xlfn.XLOOKUP(L38,'Utslippsfaktorer Transport'!$A$23:$A$25,'Utslippsfaktorer Transport'!$C$23:$C$25)</f>
        <v>0</v>
      </c>
      <c r="T38" s="316"/>
      <c r="AG38" s="373" t="s">
        <v>49</v>
      </c>
      <c r="AH38" s="442">
        <f>E38*F38*_xlfn.XLOOKUP(I38,'Utslippsfaktorer Transport'!$A$9:$A$19,'Utslippsfaktorer Transport'!$B$9:$B$19)*_xlfn.XLOOKUP(J38,'Utslippsfaktorer Transport'!$A$33:$A$52,'Utslippsfaktorer Transport'!$B$33:$B$52)/1000</f>
        <v>0</v>
      </c>
      <c r="AI38" s="442">
        <f>E38*F38*_xlfn.XLOOKUP(I38,'Utslippsfaktorer Transport'!$A$9:$A$19,'Utslippsfaktorer Transport'!$B$9:$B$19)*_xlfn.XLOOKUP(J38,'Utslippsfaktorer Transport'!$A$33:$A$52,'Utslippsfaktorer Transport'!$C$33:$C$52)/1000</f>
        <v>0</v>
      </c>
      <c r="AJ38" s="442">
        <f>E38*F38*_xlfn.XLOOKUP(I38,'Utslippsfaktorer Transport'!$A$9:$A$19,'Utslippsfaktorer Transport'!$B$9:$B$19)*_xlfn.XLOOKUP(J38,'Utslippsfaktorer Transport'!$A$33:$A$52,'Utslippsfaktorer Transport'!$D$33:$D$52)/1000</f>
        <v>0</v>
      </c>
      <c r="AK38" s="904">
        <f>E38*G38*_xlfn.XLOOKUP(K38,'Utslippsfaktorer Transport'!$A$26:$A$29,'Utslippsfaktorer Transport'!$F$26:$F$29)/1000</f>
        <v>0</v>
      </c>
      <c r="AL38" s="904">
        <f>E38*G38*_xlfn.XLOOKUP(K38,'Utslippsfaktorer Transport'!$A$26:$A$29,'Utslippsfaktorer Transport'!$G$26:$G$29)/1000</f>
        <v>0</v>
      </c>
      <c r="AM38" s="904">
        <f>E38*G38*_xlfn.XLOOKUP(K38,'Utslippsfaktorer Transport'!$A$26:$A$29,'Utslippsfaktorer Transport'!$H$26:$H$29)/1000</f>
        <v>0</v>
      </c>
      <c r="AN38" s="442">
        <f>H38*E38*_xlfn.XLOOKUP(L38,'Utslippsfaktorer Transport'!$A$23:$A$25,'Utslippsfaktorer Transport'!$C$23:$C$25)/1000</f>
        <v>0</v>
      </c>
      <c r="AO38" s="442">
        <f>H38*E38*_xlfn.XLOOKUP(L38,'Utslippsfaktorer Transport'!$A$23:$A$25,'Utslippsfaktorer Transport'!$D$23:$D$25)/1000</f>
        <v>0</v>
      </c>
      <c r="AP38" s="902">
        <f>H38*E38*_xlfn.XLOOKUP(L38,'Utslippsfaktorer Transport'!$A$23:$A$25,'Utslippsfaktorer Transport'!$E$23:$E$25)/1000</f>
        <v>0</v>
      </c>
    </row>
    <row r="39" spans="1:42" outlineLevel="1" x14ac:dyDescent="0.3">
      <c r="A39" s="676">
        <v>0</v>
      </c>
      <c r="B39" s="868">
        <f>VLOOKUP(C39,'Vann og Avløp-utslippsfaktorer'!$A$3:$D$82,4,FALSE)</f>
        <v>110</v>
      </c>
      <c r="C39" s="373" t="s">
        <v>50</v>
      </c>
      <c r="D39" s="313"/>
      <c r="E39" s="360">
        <v>0</v>
      </c>
      <c r="F39" s="360">
        <v>100</v>
      </c>
      <c r="G39" s="360">
        <v>0</v>
      </c>
      <c r="H39" s="361">
        <v>0</v>
      </c>
      <c r="I39" s="672" t="s">
        <v>865</v>
      </c>
      <c r="J39" s="519" t="s">
        <v>648</v>
      </c>
      <c r="K39" s="519" t="s">
        <v>871</v>
      </c>
      <c r="L39" s="519" t="s">
        <v>868</v>
      </c>
      <c r="M39" s="921">
        <f>_xlfn.XLOOKUP(I39,'Utslippsfaktorer Transport'!$A$10:$A$19,'Utslippsfaktorer Transport'!$B$10:$B$19)*_xlfn.XLOOKUP(J39,'Utslippsfaktorer Transport'!$A$34:$A$52,'Utslippsfaktorer Transport'!$E$34:$E$52)</f>
        <v>64.47</v>
      </c>
      <c r="N39" s="911">
        <f>_xlfn.XLOOKUP(K39,'Utslippsfaktorer Transport'!$A$27:$A$29,'Utslippsfaktorer Transport'!$F$27:$F$29)</f>
        <v>17.5</v>
      </c>
      <c r="O39" s="912">
        <f>_xlfn.XLOOKUP(L39,'Utslippsfaktorer Transport'!$A$23:$A$25,'Utslippsfaktorer Transport'!$C$23:$C$25)</f>
        <v>0</v>
      </c>
      <c r="T39" s="316"/>
      <c r="AG39" s="518" t="s">
        <v>50</v>
      </c>
      <c r="AH39" s="911">
        <f>E39*F39*_xlfn.XLOOKUP(I39,'Utslippsfaktorer Transport'!$A$9:$A$19,'Utslippsfaktorer Transport'!$B$9:$B$19)*_xlfn.XLOOKUP(J39,'Utslippsfaktorer Transport'!$A$33:$A$52,'Utslippsfaktorer Transport'!$B$33:$B$52)/1000</f>
        <v>0</v>
      </c>
      <c r="AI39" s="911">
        <f>E39*F39*_xlfn.XLOOKUP(I39,'Utslippsfaktorer Transport'!$A$9:$A$19,'Utslippsfaktorer Transport'!$B$9:$B$19)*_xlfn.XLOOKUP(J39,'Utslippsfaktorer Transport'!$A$33:$A$52,'Utslippsfaktorer Transport'!$C$33:$C$52)/1000</f>
        <v>0</v>
      </c>
      <c r="AJ39" s="911">
        <f>E39*F39*_xlfn.XLOOKUP(I39,'Utslippsfaktorer Transport'!$A$9:$A$19,'Utslippsfaktorer Transport'!$B$9:$B$19)*_xlfn.XLOOKUP(J39,'Utslippsfaktorer Transport'!$A$33:$A$52,'Utslippsfaktorer Transport'!$D$33:$D$52)/1000</f>
        <v>0</v>
      </c>
      <c r="AK39" s="920">
        <f>E39*G39*_xlfn.XLOOKUP(K39,'Utslippsfaktorer Transport'!$A$26:$A$29,'Utslippsfaktorer Transport'!$F$26:$F$29)/1000</f>
        <v>0</v>
      </c>
      <c r="AL39" s="920">
        <f>E39*G39*_xlfn.XLOOKUP(K39,'Utslippsfaktorer Transport'!$A$26:$A$29,'Utslippsfaktorer Transport'!$G$26:$G$29)/1000</f>
        <v>0</v>
      </c>
      <c r="AM39" s="920">
        <f>E39*G39*_xlfn.XLOOKUP(K39,'Utslippsfaktorer Transport'!$A$26:$A$29,'Utslippsfaktorer Transport'!$H$26:$H$29)/1000</f>
        <v>0</v>
      </c>
      <c r="AN39" s="911">
        <f>H39*E39*_xlfn.XLOOKUP(L39,'Utslippsfaktorer Transport'!$A$23:$A$25,'Utslippsfaktorer Transport'!$C$23:$C$25)/1000</f>
        <v>0</v>
      </c>
      <c r="AO39" s="911">
        <f>H39*E39*_xlfn.XLOOKUP(L39,'Utslippsfaktorer Transport'!$A$23:$A$25,'Utslippsfaktorer Transport'!$D$23:$D$25)/1000</f>
        <v>0</v>
      </c>
      <c r="AP39" s="912">
        <f>H39*E39*_xlfn.XLOOKUP(L39,'Utslippsfaktorer Transport'!$A$23:$A$25,'Utslippsfaktorer Transport'!$E$23:$E$25)/1000</f>
        <v>0</v>
      </c>
    </row>
    <row r="40" spans="1:42" outlineLevel="1" x14ac:dyDescent="0.3">
      <c r="A40" s="405"/>
      <c r="B40" s="658"/>
      <c r="C40" s="680" t="s">
        <v>502</v>
      </c>
      <c r="D40" s="681"/>
      <c r="E40" s="528"/>
      <c r="F40" s="528"/>
      <c r="G40" s="528"/>
      <c r="H40" s="665"/>
      <c r="I40" s="373"/>
      <c r="J40" s="313"/>
      <c r="K40" s="313"/>
      <c r="L40" s="313"/>
      <c r="M40" s="313"/>
      <c r="N40" s="313"/>
      <c r="O40" s="316"/>
      <c r="T40" s="316"/>
      <c r="AG40" s="432" t="s">
        <v>502</v>
      </c>
      <c r="AH40" s="313"/>
      <c r="AI40" s="313"/>
      <c r="AJ40" s="313"/>
      <c r="AK40" s="657"/>
      <c r="AL40" s="657"/>
      <c r="AM40" s="657"/>
      <c r="AN40" s="313"/>
      <c r="AO40" s="313"/>
      <c r="AP40" s="316"/>
    </row>
    <row r="41" spans="1:42" outlineLevel="1" x14ac:dyDescent="0.3">
      <c r="A41" s="372">
        <v>0</v>
      </c>
      <c r="B41" s="868">
        <f>VLOOKUP(C41,'Vann og Avløp-utslippsfaktorer'!$A$3:$D$82,4,FALSE)</f>
        <v>2790</v>
      </c>
      <c r="C41" s="373" t="s">
        <v>503</v>
      </c>
      <c r="D41" s="313"/>
      <c r="E41" s="484">
        <v>0</v>
      </c>
      <c r="F41" s="360">
        <v>100</v>
      </c>
      <c r="G41" s="360">
        <v>0</v>
      </c>
      <c r="H41" s="361">
        <v>0</v>
      </c>
      <c r="I41" s="682" t="s">
        <v>865</v>
      </c>
      <c r="J41" s="484" t="s">
        <v>648</v>
      </c>
      <c r="K41" s="484" t="s">
        <v>871</v>
      </c>
      <c r="L41" s="484" t="s">
        <v>868</v>
      </c>
      <c r="M41" s="899">
        <f>_xlfn.XLOOKUP(I41,'Utslippsfaktorer Transport'!$A$10:$A$19,'Utslippsfaktorer Transport'!$B$10:$B$19)*_xlfn.XLOOKUP(J41,'Utslippsfaktorer Transport'!$A$34:$A$52,'Utslippsfaktorer Transport'!$E$34:$E$52)</f>
        <v>64.47</v>
      </c>
      <c r="N41" s="900">
        <f>_xlfn.XLOOKUP(K41,'Utslippsfaktorer Transport'!$A$27:$A$29,'Utslippsfaktorer Transport'!$F$27:$F$29)</f>
        <v>17.5</v>
      </c>
      <c r="O41" s="901">
        <f>_xlfn.XLOOKUP(L41,'Utslippsfaktorer Transport'!$A$23:$A$25,'Utslippsfaktorer Transport'!$C$23:$C$25)</f>
        <v>0</v>
      </c>
      <c r="T41" s="316"/>
      <c r="AG41" s="373" t="s">
        <v>503</v>
      </c>
      <c r="AH41" s="442">
        <f>E41*F41*_xlfn.XLOOKUP(I41,'Utslippsfaktorer Transport'!$A$9:$A$19,'Utslippsfaktorer Transport'!$B$9:$B$19)*_xlfn.XLOOKUP(J41,'Utslippsfaktorer Transport'!$A$33:$A$52,'Utslippsfaktorer Transport'!$B$33:$B$52)/1000</f>
        <v>0</v>
      </c>
      <c r="AI41" s="442">
        <f>E41*F41*_xlfn.XLOOKUP(I41,'Utslippsfaktorer Transport'!$A$9:$A$19,'Utslippsfaktorer Transport'!$B$9:$B$19)*_xlfn.XLOOKUP(J41,'Utslippsfaktorer Transport'!$A$33:$A$52,'Utslippsfaktorer Transport'!$C$33:$C$52)/1000</f>
        <v>0</v>
      </c>
      <c r="AJ41" s="442">
        <f>E41*F41*_xlfn.XLOOKUP(I41,'Utslippsfaktorer Transport'!$A$9:$A$19,'Utslippsfaktorer Transport'!$B$9:$B$19)*_xlfn.XLOOKUP(J41,'Utslippsfaktorer Transport'!$A$33:$A$52,'Utslippsfaktorer Transport'!$D$33:$D$52)/1000</f>
        <v>0</v>
      </c>
      <c r="AK41" s="904">
        <f>E41*G41*_xlfn.XLOOKUP(K41,'Utslippsfaktorer Transport'!$A$26:$A$29,'Utslippsfaktorer Transport'!$F$26:$F$29)/1000</f>
        <v>0</v>
      </c>
      <c r="AL41" s="904">
        <f>E41*G41*_xlfn.XLOOKUP(K41,'Utslippsfaktorer Transport'!$A$26:$A$29,'Utslippsfaktorer Transport'!$G$26:$G$29)/1000</f>
        <v>0</v>
      </c>
      <c r="AM41" s="904">
        <f>E41*G41*_xlfn.XLOOKUP(K41,'Utslippsfaktorer Transport'!$A$26:$A$29,'Utslippsfaktorer Transport'!$H$26:$H$29)/1000</f>
        <v>0</v>
      </c>
      <c r="AN41" s="442">
        <f>H41*E41*_xlfn.XLOOKUP(L41,'Utslippsfaktorer Transport'!$A$23:$A$25,'Utslippsfaktorer Transport'!$C$23:$C$25)/1000</f>
        <v>0</v>
      </c>
      <c r="AO41" s="442">
        <f>H41*E41*_xlfn.XLOOKUP(L41,'Utslippsfaktorer Transport'!$A$23:$A$25,'Utslippsfaktorer Transport'!$D$23:$D$25)/1000</f>
        <v>0</v>
      </c>
      <c r="AP41" s="902">
        <f>H41*E41*_xlfn.XLOOKUP(L41,'Utslippsfaktorer Transport'!$A$23:$A$25,'Utslippsfaktorer Transport'!$E$23:$E$25)/1000</f>
        <v>0</v>
      </c>
    </row>
    <row r="42" spans="1:42" ht="15" outlineLevel="1" thickBot="1" x14ac:dyDescent="0.35">
      <c r="A42" s="375">
        <v>0</v>
      </c>
      <c r="B42" s="915">
        <f>VLOOKUP(C42,'Vann og Avløp-utslippsfaktorer'!$A$3:$D$82,4,FALSE)</f>
        <v>2560</v>
      </c>
      <c r="C42" s="376" t="s">
        <v>602</v>
      </c>
      <c r="D42" s="318"/>
      <c r="E42" s="329">
        <v>0</v>
      </c>
      <c r="F42" s="329">
        <v>100</v>
      </c>
      <c r="G42" s="329">
        <v>0</v>
      </c>
      <c r="H42" s="369">
        <v>0</v>
      </c>
      <c r="I42" s="672" t="s">
        <v>865</v>
      </c>
      <c r="J42" s="519" t="s">
        <v>648</v>
      </c>
      <c r="K42" s="519" t="s">
        <v>871</v>
      </c>
      <c r="L42" s="519" t="s">
        <v>868</v>
      </c>
      <c r="M42" s="921">
        <f>_xlfn.XLOOKUP(I42,'Utslippsfaktorer Transport'!$A$10:$A$19,'Utslippsfaktorer Transport'!$B$10:$B$19)*_xlfn.XLOOKUP(J42,'Utslippsfaktorer Transport'!$A$34:$A$52,'Utslippsfaktorer Transport'!$E$34:$E$52)</f>
        <v>64.47</v>
      </c>
      <c r="N42" s="911">
        <f>_xlfn.XLOOKUP(K42,'Utslippsfaktorer Transport'!$A$27:$A$29,'Utslippsfaktorer Transport'!$F$27:$F$29)</f>
        <v>17.5</v>
      </c>
      <c r="O42" s="912">
        <f>_xlfn.XLOOKUP(L42,'Utslippsfaktorer Transport'!$A$23:$A$25,'Utslippsfaktorer Transport'!$C$23:$C$25)</f>
        <v>0</v>
      </c>
      <c r="P42" s="318"/>
      <c r="Q42" s="318"/>
      <c r="R42" s="318"/>
      <c r="S42" s="318"/>
      <c r="T42" s="320"/>
      <c r="AG42" s="376" t="s">
        <v>602</v>
      </c>
      <c r="AH42" s="441">
        <f>E42*F42*_xlfn.XLOOKUP(I42,'Utslippsfaktorer Transport'!$A$9:$A$19,'Utslippsfaktorer Transport'!$B$9:$B$19)*_xlfn.XLOOKUP(J42,'Utslippsfaktorer Transport'!$A$33:$A$52,'Utslippsfaktorer Transport'!$B$33:$B$52)/1000</f>
        <v>0</v>
      </c>
      <c r="AI42" s="441">
        <f>E42*F42*_xlfn.XLOOKUP(I42,'Utslippsfaktorer Transport'!$A$9:$A$19,'Utslippsfaktorer Transport'!$B$9:$B$19)*_xlfn.XLOOKUP(J42,'Utslippsfaktorer Transport'!$A$33:$A$52,'Utslippsfaktorer Transport'!$C$33:$C$52)/1000</f>
        <v>0</v>
      </c>
      <c r="AJ42" s="441">
        <f>E42*F42*_xlfn.XLOOKUP(I42,'Utslippsfaktorer Transport'!$A$9:$A$19,'Utslippsfaktorer Transport'!$B$9:$B$19)*_xlfn.XLOOKUP(J42,'Utslippsfaktorer Transport'!$A$33:$A$52,'Utslippsfaktorer Transport'!$D$33:$D$52)/1000</f>
        <v>0</v>
      </c>
      <c r="AK42" s="905">
        <f>E42*G42*_xlfn.XLOOKUP(K42,'Utslippsfaktorer Transport'!$A$26:$A$29,'Utslippsfaktorer Transport'!$F$26:$F$29)/1000</f>
        <v>0</v>
      </c>
      <c r="AL42" s="905">
        <f>E42*G42*_xlfn.XLOOKUP(K42,'Utslippsfaktorer Transport'!$A$26:$A$29,'Utslippsfaktorer Transport'!$G$26:$G$29)/1000</f>
        <v>0</v>
      </c>
      <c r="AM42" s="905">
        <f>E42*G42*_xlfn.XLOOKUP(K42,'Utslippsfaktorer Transport'!$A$26:$A$29,'Utslippsfaktorer Transport'!$H$26:$H$29)/1000</f>
        <v>0</v>
      </c>
      <c r="AN42" s="441">
        <f>H42*E42*_xlfn.XLOOKUP(L42,'Utslippsfaktorer Transport'!$A$23:$A$25,'Utslippsfaktorer Transport'!$C$23:$C$25)/1000</f>
        <v>0</v>
      </c>
      <c r="AO42" s="441">
        <f>H42*E42*_xlfn.XLOOKUP(L42,'Utslippsfaktorer Transport'!$A$23:$A$25,'Utslippsfaktorer Transport'!$D$23:$D$25)/1000</f>
        <v>0</v>
      </c>
      <c r="AP42" s="903">
        <f>H42*E42*_xlfn.XLOOKUP(L42,'Utslippsfaktorer Transport'!$A$23:$A$25,'Utslippsfaktorer Transport'!$E$23:$E$25)/1000</f>
        <v>0</v>
      </c>
    </row>
    <row r="43" spans="1:42" ht="15" outlineLevel="1" thickBot="1" x14ac:dyDescent="0.35">
      <c r="AK43" s="660"/>
      <c r="AL43" s="660"/>
      <c r="AM43" s="660"/>
    </row>
    <row r="44" spans="1:42" ht="15.6" outlineLevel="1" x14ac:dyDescent="0.3">
      <c r="A44" s="310" t="s">
        <v>777</v>
      </c>
      <c r="B44" s="683" t="s">
        <v>330</v>
      </c>
      <c r="C44" s="654" t="s">
        <v>316</v>
      </c>
      <c r="D44" s="684"/>
      <c r="E44" s="656" t="s">
        <v>321</v>
      </c>
      <c r="F44" s="656" t="s">
        <v>669</v>
      </c>
      <c r="G44" s="656" t="s">
        <v>667</v>
      </c>
      <c r="H44" s="419" t="s">
        <v>670</v>
      </c>
      <c r="I44" s="378" t="s">
        <v>891</v>
      </c>
      <c r="J44" s="307" t="s">
        <v>892</v>
      </c>
      <c r="K44" s="307" t="s">
        <v>893</v>
      </c>
      <c r="L44" s="307" t="s">
        <v>890</v>
      </c>
      <c r="M44" s="307" t="s">
        <v>894</v>
      </c>
      <c r="N44" s="307" t="s">
        <v>895</v>
      </c>
      <c r="O44" s="419" t="s">
        <v>901</v>
      </c>
      <c r="P44" s="381"/>
      <c r="Q44" s="458"/>
      <c r="R44" s="458"/>
      <c r="S44" s="458"/>
      <c r="T44" s="459"/>
      <c r="AG44" s="654" t="s">
        <v>316</v>
      </c>
      <c r="AH44" s="307"/>
      <c r="AI44" s="307"/>
      <c r="AJ44" s="307"/>
      <c r="AK44" s="661"/>
      <c r="AL44" s="661"/>
      <c r="AM44" s="661"/>
      <c r="AN44" s="307"/>
      <c r="AO44" s="307"/>
      <c r="AP44" s="419"/>
    </row>
    <row r="45" spans="1:42" outlineLevel="1" x14ac:dyDescent="0.3">
      <c r="A45" s="315">
        <v>0</v>
      </c>
      <c r="B45" s="922">
        <f>VLOOKUP(C45,'Vann og Avløp-utslippsfaktorer'!$A$3:$D$82,4,FALSE)</f>
        <v>669</v>
      </c>
      <c r="C45" s="373" t="s">
        <v>317</v>
      </c>
      <c r="D45" s="313"/>
      <c r="E45" s="315">
        <v>0</v>
      </c>
      <c r="F45" s="339">
        <v>100</v>
      </c>
      <c r="G45" s="315">
        <v>0</v>
      </c>
      <c r="H45" s="340">
        <v>0</v>
      </c>
      <c r="I45" s="483" t="s">
        <v>865</v>
      </c>
      <c r="J45" s="360" t="s">
        <v>648</v>
      </c>
      <c r="K45" s="360" t="s">
        <v>871</v>
      </c>
      <c r="L45" s="360" t="s">
        <v>868</v>
      </c>
      <c r="M45" s="473">
        <f>_xlfn.XLOOKUP(I45,'Utslippsfaktorer Transport'!$A$10:$A$19,'Utslippsfaktorer Transport'!$B$10:$B$19)*_xlfn.XLOOKUP(J45,'Utslippsfaktorer Transport'!$A$34:$A$52,'Utslippsfaktorer Transport'!$E$34:$E$52)</f>
        <v>64.47</v>
      </c>
      <c r="N45" s="442">
        <f>_xlfn.XLOOKUP(K45,'Utslippsfaktorer Transport'!$A$27:$A$29,'Utslippsfaktorer Transport'!$F$27:$F$29)</f>
        <v>17.5</v>
      </c>
      <c r="O45" s="902">
        <f>_xlfn.XLOOKUP(L45,'Utslippsfaktorer Transport'!$A$23:$A$25,'Utslippsfaktorer Transport'!$C$23:$C$25)</f>
        <v>0</v>
      </c>
      <c r="P45" s="373"/>
      <c r="T45" s="316"/>
      <c r="AG45" s="373" t="s">
        <v>317</v>
      </c>
      <c r="AH45" s="442">
        <f>E45*F45*_xlfn.XLOOKUP(I45,'Utslippsfaktorer Transport'!$A$9:$A$19,'Utslippsfaktorer Transport'!$B$9:$B$19)*_xlfn.XLOOKUP(J45,'Utslippsfaktorer Transport'!$A$33:$A$52,'Utslippsfaktorer Transport'!$B$33:$B$52)/1000</f>
        <v>0</v>
      </c>
      <c r="AI45" s="442">
        <f>E45*F45*_xlfn.XLOOKUP(I45,'Utslippsfaktorer Transport'!$A$9:$A$19,'Utslippsfaktorer Transport'!$B$9:$B$19)*_xlfn.XLOOKUP(J45,'Utslippsfaktorer Transport'!$A$33:$A$52,'Utslippsfaktorer Transport'!$C$33:$C$52)/1000</f>
        <v>0</v>
      </c>
      <c r="AJ45" s="442">
        <f>E45*F45*_xlfn.XLOOKUP(I45,'Utslippsfaktorer Transport'!$A$9:$A$19,'Utslippsfaktorer Transport'!$B$9:$B$19)*_xlfn.XLOOKUP(J45,'Utslippsfaktorer Transport'!$A$33:$A$52,'Utslippsfaktorer Transport'!$D$33:$D$52)/1000</f>
        <v>0</v>
      </c>
      <c r="AK45" s="904">
        <f>E45*G45*_xlfn.XLOOKUP(K45,'Utslippsfaktorer Transport'!$A$26:$A$29,'Utslippsfaktorer Transport'!$F$26:$F$29)/1000</f>
        <v>0</v>
      </c>
      <c r="AL45" s="904">
        <f>E45*G45*_xlfn.XLOOKUP(K45,'Utslippsfaktorer Transport'!$A$26:$A$29,'Utslippsfaktorer Transport'!$G$26:$G$29)/1000</f>
        <v>0</v>
      </c>
      <c r="AM45" s="904">
        <f>E45*G45*_xlfn.XLOOKUP(K45,'Utslippsfaktorer Transport'!$A$26:$A$29,'Utslippsfaktorer Transport'!$H$26:$H$29)/1000</f>
        <v>0</v>
      </c>
      <c r="AN45" s="442">
        <f>H45*E45*_xlfn.XLOOKUP(L45,'Utslippsfaktorer Transport'!$A$23:$A$25,'Utslippsfaktorer Transport'!$C$23:$C$25)/1000</f>
        <v>0</v>
      </c>
      <c r="AO45" s="442">
        <f>H45*E45*_xlfn.XLOOKUP(L45,'Utslippsfaktorer Transport'!$A$23:$A$25,'Utslippsfaktorer Transport'!$D$23:$D$25)/1000</f>
        <v>0</v>
      </c>
      <c r="AP45" s="902">
        <f>H45*E45*_xlfn.XLOOKUP(L45,'Utslippsfaktorer Transport'!$A$23:$A$25,'Utslippsfaktorer Transport'!$E$23:$E$25)/1000</f>
        <v>0</v>
      </c>
    </row>
    <row r="46" spans="1:42" outlineLevel="1" x14ac:dyDescent="0.3">
      <c r="A46" s="315">
        <v>0</v>
      </c>
      <c r="B46" s="906">
        <f>VLOOKUP(C46,'Vann og Avløp-utslippsfaktorer'!$A$3:$D$82,4,FALSE)</f>
        <v>1250</v>
      </c>
      <c r="C46" s="373" t="s">
        <v>318</v>
      </c>
      <c r="D46" s="313"/>
      <c r="E46" s="315">
        <v>0</v>
      </c>
      <c r="F46" s="315">
        <v>100</v>
      </c>
      <c r="G46" s="315">
        <v>0</v>
      </c>
      <c r="H46" s="340">
        <v>0</v>
      </c>
      <c r="I46" s="483" t="s">
        <v>865</v>
      </c>
      <c r="J46" s="360" t="s">
        <v>648</v>
      </c>
      <c r="K46" s="360" t="s">
        <v>871</v>
      </c>
      <c r="L46" s="360" t="s">
        <v>868</v>
      </c>
      <c r="M46" s="473">
        <f>_xlfn.XLOOKUP(I46,'Utslippsfaktorer Transport'!$A$10:$A$19,'Utslippsfaktorer Transport'!$B$10:$B$19)*_xlfn.XLOOKUP(J46,'Utslippsfaktorer Transport'!$A$34:$A$52,'Utslippsfaktorer Transport'!$E$34:$E$52)</f>
        <v>64.47</v>
      </c>
      <c r="N46" s="442">
        <f>_xlfn.XLOOKUP(K46,'Utslippsfaktorer Transport'!$A$27:$A$29,'Utslippsfaktorer Transport'!$F$27:$F$29)</f>
        <v>17.5</v>
      </c>
      <c r="O46" s="902">
        <f>_xlfn.XLOOKUP(L46,'Utslippsfaktorer Transport'!$A$23:$A$25,'Utslippsfaktorer Transport'!$C$23:$C$25)</f>
        <v>0</v>
      </c>
      <c r="P46" s="373"/>
      <c r="T46" s="316"/>
      <c r="AG46" s="373" t="s">
        <v>318</v>
      </c>
      <c r="AH46" s="442">
        <f>E46*F46*_xlfn.XLOOKUP(I46,'Utslippsfaktorer Transport'!$A$9:$A$19,'Utslippsfaktorer Transport'!$B$9:$B$19)*_xlfn.XLOOKUP(J46,'Utslippsfaktorer Transport'!$A$33:$A$52,'Utslippsfaktorer Transport'!$B$33:$B$52)/1000</f>
        <v>0</v>
      </c>
      <c r="AI46" s="442">
        <f>E46*F46*_xlfn.XLOOKUP(I46,'Utslippsfaktorer Transport'!$A$9:$A$19,'Utslippsfaktorer Transport'!$B$9:$B$19)*_xlfn.XLOOKUP(J46,'Utslippsfaktorer Transport'!$A$33:$A$52,'Utslippsfaktorer Transport'!$C$33:$C$52)/1000</f>
        <v>0</v>
      </c>
      <c r="AJ46" s="442">
        <f>E46*F46*_xlfn.XLOOKUP(I46,'Utslippsfaktorer Transport'!$A$9:$A$19,'Utslippsfaktorer Transport'!$B$9:$B$19)*_xlfn.XLOOKUP(J46,'Utslippsfaktorer Transport'!$A$33:$A$52,'Utslippsfaktorer Transport'!$D$33:$D$52)/1000</f>
        <v>0</v>
      </c>
      <c r="AK46" s="904">
        <f>E46*G46*_xlfn.XLOOKUP(K46,'Utslippsfaktorer Transport'!$A$26:$A$29,'Utslippsfaktorer Transport'!$F$26:$F$29)/1000</f>
        <v>0</v>
      </c>
      <c r="AL46" s="904">
        <f>E46*G46*_xlfn.XLOOKUP(K46,'Utslippsfaktorer Transport'!$A$26:$A$29,'Utslippsfaktorer Transport'!$G$26:$G$29)/1000</f>
        <v>0</v>
      </c>
      <c r="AM46" s="904">
        <f>E46*G46*_xlfn.XLOOKUP(K46,'Utslippsfaktorer Transport'!$A$26:$A$29,'Utslippsfaktorer Transport'!$H$26:$H$29)/1000</f>
        <v>0</v>
      </c>
      <c r="AN46" s="442">
        <f>H46*E46*_xlfn.XLOOKUP(L46,'Utslippsfaktorer Transport'!$A$23:$A$25,'Utslippsfaktorer Transport'!$C$23:$C$25)/1000</f>
        <v>0</v>
      </c>
      <c r="AO46" s="442">
        <f>H46*E46*_xlfn.XLOOKUP(L46,'Utslippsfaktorer Transport'!$A$23:$A$25,'Utslippsfaktorer Transport'!$D$23:$D$25)/1000</f>
        <v>0</v>
      </c>
      <c r="AP46" s="902">
        <f>H46*E46*_xlfn.XLOOKUP(L46,'Utslippsfaktorer Transport'!$A$23:$A$25,'Utslippsfaktorer Transport'!$E$23:$E$25)/1000</f>
        <v>0</v>
      </c>
    </row>
    <row r="47" spans="1:42" outlineLevel="1" x14ac:dyDescent="0.3">
      <c r="A47" s="315">
        <v>0</v>
      </c>
      <c r="B47" s="906">
        <f>VLOOKUP(C47,'Vann og Avløp-utslippsfaktorer'!$A$3:$D$82,4,FALSE)</f>
        <v>2146</v>
      </c>
      <c r="C47" s="373" t="s">
        <v>319</v>
      </c>
      <c r="D47" s="313"/>
      <c r="E47" s="315">
        <v>0</v>
      </c>
      <c r="F47" s="315">
        <v>100</v>
      </c>
      <c r="G47" s="315">
        <v>0</v>
      </c>
      <c r="H47" s="340">
        <v>0</v>
      </c>
      <c r="I47" s="483" t="s">
        <v>865</v>
      </c>
      <c r="J47" s="360" t="s">
        <v>648</v>
      </c>
      <c r="K47" s="360" t="s">
        <v>871</v>
      </c>
      <c r="L47" s="360" t="s">
        <v>868</v>
      </c>
      <c r="M47" s="473">
        <f>_xlfn.XLOOKUP(I47,'Utslippsfaktorer Transport'!$A$10:$A$19,'Utslippsfaktorer Transport'!$B$10:$B$19)*_xlfn.XLOOKUP(J47,'Utslippsfaktorer Transport'!$A$34:$A$52,'Utslippsfaktorer Transport'!$E$34:$E$52)</f>
        <v>64.47</v>
      </c>
      <c r="N47" s="442">
        <f>_xlfn.XLOOKUP(K47,'Utslippsfaktorer Transport'!$A$27:$A$29,'Utslippsfaktorer Transport'!$F$27:$F$29)</f>
        <v>17.5</v>
      </c>
      <c r="O47" s="902">
        <f>_xlfn.XLOOKUP(L47,'Utslippsfaktorer Transport'!$A$23:$A$25,'Utslippsfaktorer Transport'!$C$23:$C$25)</f>
        <v>0</v>
      </c>
      <c r="P47" s="373"/>
      <c r="T47" s="316"/>
      <c r="AG47" s="373" t="s">
        <v>319</v>
      </c>
      <c r="AH47" s="442">
        <f>E47*F47*_xlfn.XLOOKUP(I47,'Utslippsfaktorer Transport'!$A$9:$A$19,'Utslippsfaktorer Transport'!$B$9:$B$19)*_xlfn.XLOOKUP(J47,'Utslippsfaktorer Transport'!$A$33:$A$52,'Utslippsfaktorer Transport'!$B$33:$B$52)/1000</f>
        <v>0</v>
      </c>
      <c r="AI47" s="442">
        <f>E47*F47*_xlfn.XLOOKUP(I47,'Utslippsfaktorer Transport'!$A$9:$A$19,'Utslippsfaktorer Transport'!$B$9:$B$19)*_xlfn.XLOOKUP(J47,'Utslippsfaktorer Transport'!$A$33:$A$52,'Utslippsfaktorer Transport'!$C$33:$C$52)/1000</f>
        <v>0</v>
      </c>
      <c r="AJ47" s="442">
        <f>E47*F47*_xlfn.XLOOKUP(I47,'Utslippsfaktorer Transport'!$A$9:$A$19,'Utslippsfaktorer Transport'!$B$9:$B$19)*_xlfn.XLOOKUP(J47,'Utslippsfaktorer Transport'!$A$33:$A$52,'Utslippsfaktorer Transport'!$D$33:$D$52)/1000</f>
        <v>0</v>
      </c>
      <c r="AK47" s="904">
        <f>E47*G47*_xlfn.XLOOKUP(K47,'Utslippsfaktorer Transport'!$A$26:$A$29,'Utslippsfaktorer Transport'!$F$26:$F$29)/1000</f>
        <v>0</v>
      </c>
      <c r="AL47" s="904">
        <f>E47*G47*_xlfn.XLOOKUP(K47,'Utslippsfaktorer Transport'!$A$26:$A$29,'Utslippsfaktorer Transport'!$G$26:$G$29)/1000</f>
        <v>0</v>
      </c>
      <c r="AM47" s="904">
        <f>E47*G47*_xlfn.XLOOKUP(K47,'Utslippsfaktorer Transport'!$A$26:$A$29,'Utslippsfaktorer Transport'!$H$26:$H$29)/1000</f>
        <v>0</v>
      </c>
      <c r="AN47" s="442">
        <f>H47*E47*_xlfn.XLOOKUP(L47,'Utslippsfaktorer Transport'!$A$23:$A$25,'Utslippsfaktorer Transport'!$C$23:$C$25)/1000</f>
        <v>0</v>
      </c>
      <c r="AO47" s="442">
        <f>H47*E47*_xlfn.XLOOKUP(L47,'Utslippsfaktorer Transport'!$A$23:$A$25,'Utslippsfaktorer Transport'!$D$23:$D$25)/1000</f>
        <v>0</v>
      </c>
      <c r="AP47" s="902">
        <f>H47*E47*_xlfn.XLOOKUP(L47,'Utslippsfaktorer Transport'!$A$23:$A$25,'Utslippsfaktorer Transport'!$E$23:$E$25)/1000</f>
        <v>0</v>
      </c>
    </row>
    <row r="48" spans="1:42" outlineLevel="1" x14ac:dyDescent="0.3">
      <c r="A48" s="315">
        <v>0</v>
      </c>
      <c r="B48" s="906">
        <f>VLOOKUP(C48,'Vann og Avløp-utslippsfaktorer'!$A$3:$D$82,4,FALSE)</f>
        <v>2146</v>
      </c>
      <c r="C48" s="373" t="s">
        <v>257</v>
      </c>
      <c r="D48" s="313"/>
      <c r="E48" s="315">
        <v>0</v>
      </c>
      <c r="F48" s="315">
        <v>100</v>
      </c>
      <c r="G48" s="315">
        <v>0</v>
      </c>
      <c r="H48" s="340">
        <v>0</v>
      </c>
      <c r="I48" s="483" t="s">
        <v>865</v>
      </c>
      <c r="J48" s="360" t="s">
        <v>648</v>
      </c>
      <c r="K48" s="360" t="s">
        <v>871</v>
      </c>
      <c r="L48" s="360" t="s">
        <v>868</v>
      </c>
      <c r="M48" s="473">
        <f>_xlfn.XLOOKUP(I48,'Utslippsfaktorer Transport'!$A$10:$A$19,'Utslippsfaktorer Transport'!$B$10:$B$19)*_xlfn.XLOOKUP(J48,'Utslippsfaktorer Transport'!$A$34:$A$52,'Utslippsfaktorer Transport'!$E$34:$E$52)</f>
        <v>64.47</v>
      </c>
      <c r="N48" s="442">
        <f>_xlfn.XLOOKUP(K48,'Utslippsfaktorer Transport'!$A$27:$A$29,'Utslippsfaktorer Transport'!$F$27:$F$29)</f>
        <v>17.5</v>
      </c>
      <c r="O48" s="902">
        <f>_xlfn.XLOOKUP(L48,'Utslippsfaktorer Transport'!$A$23:$A$25,'Utslippsfaktorer Transport'!$C$23:$C$25)</f>
        <v>0</v>
      </c>
      <c r="P48" s="373"/>
      <c r="T48" s="316"/>
      <c r="AG48" s="373" t="s">
        <v>257</v>
      </c>
      <c r="AH48" s="442">
        <f>E48*F48*_xlfn.XLOOKUP(I48,'Utslippsfaktorer Transport'!$A$9:$A$19,'Utslippsfaktorer Transport'!$B$9:$B$19)*_xlfn.XLOOKUP(J48,'Utslippsfaktorer Transport'!$A$33:$A$52,'Utslippsfaktorer Transport'!$B$33:$B$52)/1000</f>
        <v>0</v>
      </c>
      <c r="AI48" s="442">
        <f>E48*F48*_xlfn.XLOOKUP(I48,'Utslippsfaktorer Transport'!$A$9:$A$19,'Utslippsfaktorer Transport'!$B$9:$B$19)*_xlfn.XLOOKUP(J48,'Utslippsfaktorer Transport'!$A$33:$A$52,'Utslippsfaktorer Transport'!$C$33:$C$52)/1000</f>
        <v>0</v>
      </c>
      <c r="AJ48" s="442">
        <f>E48*F48*_xlfn.XLOOKUP(I48,'Utslippsfaktorer Transport'!$A$9:$A$19,'Utslippsfaktorer Transport'!$B$9:$B$19)*_xlfn.XLOOKUP(J48,'Utslippsfaktorer Transport'!$A$33:$A$52,'Utslippsfaktorer Transport'!$D$33:$D$52)/1000</f>
        <v>0</v>
      </c>
      <c r="AK48" s="904">
        <f>E48*G48*_xlfn.XLOOKUP(K48,'Utslippsfaktorer Transport'!$A$26:$A$29,'Utslippsfaktorer Transport'!$F$26:$F$29)/1000</f>
        <v>0</v>
      </c>
      <c r="AL48" s="904">
        <f>E48*G48*_xlfn.XLOOKUP(K48,'Utslippsfaktorer Transport'!$A$26:$A$29,'Utslippsfaktorer Transport'!$G$26:$G$29)/1000</f>
        <v>0</v>
      </c>
      <c r="AM48" s="904">
        <f>E48*G48*_xlfn.XLOOKUP(K48,'Utslippsfaktorer Transport'!$A$26:$A$29,'Utslippsfaktorer Transport'!$H$26:$H$29)/1000</f>
        <v>0</v>
      </c>
      <c r="AN48" s="442">
        <f>H48*E48*_xlfn.XLOOKUP(L48,'Utslippsfaktorer Transport'!$A$23:$A$25,'Utslippsfaktorer Transport'!$C$23:$C$25)/1000</f>
        <v>0</v>
      </c>
      <c r="AO48" s="442">
        <f>H48*E48*_xlfn.XLOOKUP(L48,'Utslippsfaktorer Transport'!$A$23:$A$25,'Utslippsfaktorer Transport'!$D$23:$D$25)/1000</f>
        <v>0</v>
      </c>
      <c r="AP48" s="902">
        <f>H48*E48*_xlfn.XLOOKUP(L48,'Utslippsfaktorer Transport'!$A$23:$A$25,'Utslippsfaktorer Transport'!$E$23:$E$25)/1000</f>
        <v>0</v>
      </c>
    </row>
    <row r="49" spans="1:42" x14ac:dyDescent="0.3">
      <c r="A49" s="315">
        <v>0</v>
      </c>
      <c r="B49" s="906">
        <f>VLOOKUP(C49,'Vann og Avløp-utslippsfaktorer'!$A$3:$D$82,4,FALSE)</f>
        <v>1339</v>
      </c>
      <c r="C49" s="373" t="s">
        <v>320</v>
      </c>
      <c r="D49" s="313"/>
      <c r="E49" s="315">
        <v>0</v>
      </c>
      <c r="F49" s="315">
        <v>100</v>
      </c>
      <c r="G49" s="315">
        <v>0</v>
      </c>
      <c r="H49" s="340">
        <v>0</v>
      </c>
      <c r="I49" s="483" t="s">
        <v>865</v>
      </c>
      <c r="J49" s="360" t="s">
        <v>648</v>
      </c>
      <c r="K49" s="360" t="s">
        <v>871</v>
      </c>
      <c r="L49" s="360" t="s">
        <v>868</v>
      </c>
      <c r="M49" s="473">
        <f>_xlfn.XLOOKUP(I49,'Utslippsfaktorer Transport'!$A$10:$A$19,'Utslippsfaktorer Transport'!$B$10:$B$19)*_xlfn.XLOOKUP(J49,'Utslippsfaktorer Transport'!$A$34:$A$52,'Utslippsfaktorer Transport'!$E$34:$E$52)</f>
        <v>64.47</v>
      </c>
      <c r="N49" s="442">
        <f>_xlfn.XLOOKUP(K49,'Utslippsfaktorer Transport'!$A$27:$A$29,'Utslippsfaktorer Transport'!$F$27:$F$29)</f>
        <v>17.5</v>
      </c>
      <c r="O49" s="902">
        <f>_xlfn.XLOOKUP(L49,'Utslippsfaktorer Transport'!$A$23:$A$25,'Utslippsfaktorer Transport'!$C$23:$C$25)</f>
        <v>0</v>
      </c>
      <c r="P49" s="373"/>
      <c r="T49" s="316"/>
      <c r="AG49" s="373" t="s">
        <v>320</v>
      </c>
      <c r="AH49" s="442">
        <f>E49*F49*_xlfn.XLOOKUP(I49,'Utslippsfaktorer Transport'!$A$9:$A$19,'Utslippsfaktorer Transport'!$B$9:$B$19)*_xlfn.XLOOKUP(J49,'Utslippsfaktorer Transport'!$A$33:$A$52,'Utslippsfaktorer Transport'!$B$33:$B$52)/1000</f>
        <v>0</v>
      </c>
      <c r="AI49" s="442">
        <f>E49*F49*_xlfn.XLOOKUP(I49,'Utslippsfaktorer Transport'!$A$9:$A$19,'Utslippsfaktorer Transport'!$B$9:$B$19)*_xlfn.XLOOKUP(J49,'Utslippsfaktorer Transport'!$A$33:$A$52,'Utslippsfaktorer Transport'!$C$33:$C$52)/1000</f>
        <v>0</v>
      </c>
      <c r="AJ49" s="442">
        <f>E49*F49*_xlfn.XLOOKUP(I49,'Utslippsfaktorer Transport'!$A$9:$A$19,'Utslippsfaktorer Transport'!$B$9:$B$19)*_xlfn.XLOOKUP(J49,'Utslippsfaktorer Transport'!$A$33:$A$52,'Utslippsfaktorer Transport'!$D$33:$D$52)/1000</f>
        <v>0</v>
      </c>
      <c r="AK49" s="904">
        <f>E49*G49*_xlfn.XLOOKUP(K49,'Utslippsfaktorer Transport'!$A$26:$A$29,'Utslippsfaktorer Transport'!$F$26:$F$29)/1000</f>
        <v>0</v>
      </c>
      <c r="AL49" s="904">
        <f>E49*G49*_xlfn.XLOOKUP(K49,'Utslippsfaktorer Transport'!$A$26:$A$29,'Utslippsfaktorer Transport'!$G$26:$G$29)/1000</f>
        <v>0</v>
      </c>
      <c r="AM49" s="904">
        <f>E49*G49*_xlfn.XLOOKUP(K49,'Utslippsfaktorer Transport'!$A$26:$A$29,'Utslippsfaktorer Transport'!$H$26:$H$29)/1000</f>
        <v>0</v>
      </c>
      <c r="AN49" s="442">
        <f>H49*E49*_xlfn.XLOOKUP(L49,'Utslippsfaktorer Transport'!$A$23:$A$25,'Utslippsfaktorer Transport'!$C$23:$C$25)/1000</f>
        <v>0</v>
      </c>
      <c r="AO49" s="442">
        <f>H49*E49*_xlfn.XLOOKUP(L49,'Utslippsfaktorer Transport'!$A$23:$A$25,'Utslippsfaktorer Transport'!$D$23:$D$25)/1000</f>
        <v>0</v>
      </c>
      <c r="AP49" s="902">
        <f>H49*E49*_xlfn.XLOOKUP(L49,'Utslippsfaktorer Transport'!$A$23:$A$25,'Utslippsfaktorer Transport'!$E$23:$E$25)/1000</f>
        <v>0</v>
      </c>
    </row>
    <row r="50" spans="1:42" outlineLevel="1" x14ac:dyDescent="0.3">
      <c r="A50" s="315">
        <v>0</v>
      </c>
      <c r="B50" s="906">
        <f>VLOOKUP(C50,'Vann og Avløp-utslippsfaktorer'!$A$3:$D$82,4,FALSE)</f>
        <v>1370</v>
      </c>
      <c r="C50" s="373" t="s">
        <v>281</v>
      </c>
      <c r="D50" s="313"/>
      <c r="E50" s="315">
        <v>0</v>
      </c>
      <c r="F50" s="315">
        <v>100</v>
      </c>
      <c r="G50" s="315">
        <v>0</v>
      </c>
      <c r="H50" s="340">
        <v>0</v>
      </c>
      <c r="I50" s="483" t="s">
        <v>865</v>
      </c>
      <c r="J50" s="360" t="s">
        <v>648</v>
      </c>
      <c r="K50" s="360" t="s">
        <v>871</v>
      </c>
      <c r="L50" s="360" t="s">
        <v>868</v>
      </c>
      <c r="M50" s="473">
        <f>_xlfn.XLOOKUP(I50,'Utslippsfaktorer Transport'!$A$10:$A$19,'Utslippsfaktorer Transport'!$B$10:$B$19)*_xlfn.XLOOKUP(J50,'Utslippsfaktorer Transport'!$A$34:$A$52,'Utslippsfaktorer Transport'!$E$34:$E$52)</f>
        <v>64.47</v>
      </c>
      <c r="N50" s="442">
        <f>_xlfn.XLOOKUP(K50,'Utslippsfaktorer Transport'!$A$27:$A$29,'Utslippsfaktorer Transport'!$F$27:$F$29)</f>
        <v>17.5</v>
      </c>
      <c r="O50" s="902">
        <f>_xlfn.XLOOKUP(L50,'Utslippsfaktorer Transport'!$A$23:$A$25,'Utslippsfaktorer Transport'!$C$23:$C$25)</f>
        <v>0</v>
      </c>
      <c r="P50" s="373"/>
      <c r="T50" s="316"/>
      <c r="AG50" s="373" t="s">
        <v>281</v>
      </c>
      <c r="AH50" s="442">
        <f>E50*F50*_xlfn.XLOOKUP(I50,'Utslippsfaktorer Transport'!$A$9:$A$19,'Utslippsfaktorer Transport'!$B$9:$B$19)*_xlfn.XLOOKUP(J50,'Utslippsfaktorer Transport'!$A$33:$A$52,'Utslippsfaktorer Transport'!$B$33:$B$52)/1000</f>
        <v>0</v>
      </c>
      <c r="AI50" s="442">
        <f>E50*F50*_xlfn.XLOOKUP(I50,'Utslippsfaktorer Transport'!$A$9:$A$19,'Utslippsfaktorer Transport'!$B$9:$B$19)*_xlfn.XLOOKUP(J50,'Utslippsfaktorer Transport'!$A$33:$A$52,'Utslippsfaktorer Transport'!$C$33:$C$52)/1000</f>
        <v>0</v>
      </c>
      <c r="AJ50" s="442">
        <f>E50*F50*_xlfn.XLOOKUP(I50,'Utslippsfaktorer Transport'!$A$9:$A$19,'Utslippsfaktorer Transport'!$B$9:$B$19)*_xlfn.XLOOKUP(J50,'Utslippsfaktorer Transport'!$A$33:$A$52,'Utslippsfaktorer Transport'!$D$33:$D$52)/1000</f>
        <v>0</v>
      </c>
      <c r="AK50" s="904">
        <f>E50*G50*_xlfn.XLOOKUP(K50,'Utslippsfaktorer Transport'!$A$26:$A$29,'Utslippsfaktorer Transport'!$F$26:$F$29)/1000</f>
        <v>0</v>
      </c>
      <c r="AL50" s="904">
        <f>E50*G50*_xlfn.XLOOKUP(K50,'Utslippsfaktorer Transport'!$A$26:$A$29,'Utslippsfaktorer Transport'!$G$26:$G$29)/1000</f>
        <v>0</v>
      </c>
      <c r="AM50" s="904">
        <f>E50*G50*_xlfn.XLOOKUP(K50,'Utslippsfaktorer Transport'!$A$26:$A$29,'Utslippsfaktorer Transport'!$H$26:$H$29)/1000</f>
        <v>0</v>
      </c>
      <c r="AN50" s="442">
        <f>H50*E50*_xlfn.XLOOKUP(L50,'Utslippsfaktorer Transport'!$A$23:$A$25,'Utslippsfaktorer Transport'!$C$23:$C$25)/1000</f>
        <v>0</v>
      </c>
      <c r="AO50" s="442">
        <f>H50*E50*_xlfn.XLOOKUP(L50,'Utslippsfaktorer Transport'!$A$23:$A$25,'Utslippsfaktorer Transport'!$D$23:$D$25)/1000</f>
        <v>0</v>
      </c>
      <c r="AP50" s="902">
        <f>H50*E50*_xlfn.XLOOKUP(L50,'Utslippsfaktorer Transport'!$A$23:$A$25,'Utslippsfaktorer Transport'!$E$23:$E$25)/1000</f>
        <v>0</v>
      </c>
    </row>
    <row r="51" spans="1:42" ht="15" outlineLevel="1" thickBot="1" x14ac:dyDescent="0.35">
      <c r="A51" s="319">
        <v>0</v>
      </c>
      <c r="B51" s="907">
        <f>VLOOKUP(C51,'Vann og Avløp-utslippsfaktorer'!$A$3:$D$82,4,FALSE)</f>
        <v>1910</v>
      </c>
      <c r="C51" s="376" t="s">
        <v>282</v>
      </c>
      <c r="D51" s="318"/>
      <c r="E51" s="319">
        <v>0</v>
      </c>
      <c r="F51" s="319">
        <v>100</v>
      </c>
      <c r="G51" s="319">
        <v>0</v>
      </c>
      <c r="H51" s="352">
        <v>0</v>
      </c>
      <c r="I51" s="365" t="s">
        <v>865</v>
      </c>
      <c r="J51" s="329" t="s">
        <v>648</v>
      </c>
      <c r="K51" s="329" t="s">
        <v>871</v>
      </c>
      <c r="L51" s="329" t="s">
        <v>868</v>
      </c>
      <c r="M51" s="479">
        <f>_xlfn.XLOOKUP(I51,'Utslippsfaktorer Transport'!$A$10:$A$19,'Utslippsfaktorer Transport'!$B$10:$B$19)*_xlfn.XLOOKUP(J51,'Utslippsfaktorer Transport'!$A$34:$A$52,'Utslippsfaktorer Transport'!$E$34:$E$52)</f>
        <v>64.47</v>
      </c>
      <c r="N51" s="441">
        <f>_xlfn.XLOOKUP(K51,'Utslippsfaktorer Transport'!$A$27:$A$29,'Utslippsfaktorer Transport'!$F$27:$F$29)</f>
        <v>17.5</v>
      </c>
      <c r="O51" s="903">
        <f>_xlfn.XLOOKUP(L51,'Utslippsfaktorer Transport'!$A$23:$A$25,'Utslippsfaktorer Transport'!$C$23:$C$25)</f>
        <v>0</v>
      </c>
      <c r="P51" s="376"/>
      <c r="Q51" s="318"/>
      <c r="R51" s="318"/>
      <c r="S51" s="318"/>
      <c r="T51" s="320"/>
      <c r="AG51" s="376" t="s">
        <v>282</v>
      </c>
      <c r="AH51" s="441">
        <f>E51*F51*_xlfn.XLOOKUP(I51,'Utslippsfaktorer Transport'!$A$9:$A$19,'Utslippsfaktorer Transport'!$B$9:$B$19)*_xlfn.XLOOKUP(J51,'Utslippsfaktorer Transport'!$A$33:$A$52,'Utslippsfaktorer Transport'!$B$33:$B$52)/1000</f>
        <v>0</v>
      </c>
      <c r="AI51" s="441">
        <f>E51*F51*_xlfn.XLOOKUP(I51,'Utslippsfaktorer Transport'!$A$9:$A$19,'Utslippsfaktorer Transport'!$B$9:$B$19)*_xlfn.XLOOKUP(J51,'Utslippsfaktorer Transport'!$A$33:$A$52,'Utslippsfaktorer Transport'!$C$33:$C$52)/1000</f>
        <v>0</v>
      </c>
      <c r="AJ51" s="441">
        <f>E51*F51*_xlfn.XLOOKUP(I51,'Utslippsfaktorer Transport'!$A$9:$A$19,'Utslippsfaktorer Transport'!$B$9:$B$19)*_xlfn.XLOOKUP(J51,'Utslippsfaktorer Transport'!$A$33:$A$52,'Utslippsfaktorer Transport'!$D$33:$D$52)/1000</f>
        <v>0</v>
      </c>
      <c r="AK51" s="905">
        <f>E51*G51*_xlfn.XLOOKUP(K51,'Utslippsfaktorer Transport'!$A$26:$A$29,'Utslippsfaktorer Transport'!$F$26:$F$29)/1000</f>
        <v>0</v>
      </c>
      <c r="AL51" s="905">
        <f>E51*G51*_xlfn.XLOOKUP(K51,'Utslippsfaktorer Transport'!$A$26:$A$29,'Utslippsfaktorer Transport'!$G$26:$G$29)/1000</f>
        <v>0</v>
      </c>
      <c r="AM51" s="905">
        <f>E51*G51*_xlfn.XLOOKUP(K51,'Utslippsfaktorer Transport'!$A$26:$A$29,'Utslippsfaktorer Transport'!$H$26:$H$29)/1000</f>
        <v>0</v>
      </c>
      <c r="AN51" s="441">
        <f>H51*E51*_xlfn.XLOOKUP(L51,'Utslippsfaktorer Transport'!$A$23:$A$25,'Utslippsfaktorer Transport'!$C$23:$C$25)/1000</f>
        <v>0</v>
      </c>
      <c r="AO51" s="441">
        <f>H51*E51*_xlfn.XLOOKUP(L51,'Utslippsfaktorer Transport'!$A$23:$A$25,'Utslippsfaktorer Transport'!$D$23:$D$25)/1000</f>
        <v>0</v>
      </c>
      <c r="AP51" s="903">
        <f>H51*E51*_xlfn.XLOOKUP(L51,'Utslippsfaktorer Transport'!$A$23:$A$25,'Utslippsfaktorer Transport'!$E$23:$E$25)/1000</f>
        <v>0</v>
      </c>
    </row>
    <row r="52" spans="1:42" ht="15" outlineLevel="1" thickBot="1" x14ac:dyDescent="0.35">
      <c r="AK52" s="660"/>
      <c r="AL52" s="660"/>
      <c r="AM52" s="660"/>
    </row>
    <row r="53" spans="1:42" ht="15.6" outlineLevel="1" x14ac:dyDescent="0.3">
      <c r="A53" s="310" t="s">
        <v>777</v>
      </c>
      <c r="B53" s="683" t="s">
        <v>330</v>
      </c>
      <c r="C53" s="685" t="s">
        <v>402</v>
      </c>
      <c r="D53" s="686"/>
      <c r="E53" s="656" t="s">
        <v>321</v>
      </c>
      <c r="F53" s="656" t="s">
        <v>669</v>
      </c>
      <c r="G53" s="656" t="s">
        <v>667</v>
      </c>
      <c r="H53" s="419" t="s">
        <v>670</v>
      </c>
      <c r="I53" s="378" t="s">
        <v>891</v>
      </c>
      <c r="J53" s="307" t="s">
        <v>892</v>
      </c>
      <c r="K53" s="307" t="s">
        <v>893</v>
      </c>
      <c r="L53" s="307" t="s">
        <v>890</v>
      </c>
      <c r="M53" s="307" t="s">
        <v>894</v>
      </c>
      <c r="N53" s="307" t="s">
        <v>895</v>
      </c>
      <c r="O53" s="419" t="s">
        <v>901</v>
      </c>
      <c r="P53" s="458"/>
      <c r="Q53" s="458"/>
      <c r="R53" s="458"/>
      <c r="S53" s="458"/>
      <c r="T53" s="459"/>
      <c r="AG53" s="654" t="s">
        <v>404</v>
      </c>
      <c r="AH53" s="307"/>
      <c r="AI53" s="307"/>
      <c r="AJ53" s="307"/>
      <c r="AK53" s="661"/>
      <c r="AL53" s="661"/>
      <c r="AM53" s="661"/>
      <c r="AN53" s="307"/>
      <c r="AO53" s="307"/>
      <c r="AP53" s="419"/>
    </row>
    <row r="54" spans="1:42" outlineLevel="1" x14ac:dyDescent="0.3">
      <c r="A54" s="315">
        <v>0</v>
      </c>
      <c r="B54" s="922">
        <f>VLOOKUP(C54,'Vann og Avløp-utslippsfaktorer'!$A$3:$D$82,4,FALSE)</f>
        <v>1130</v>
      </c>
      <c r="C54" s="373" t="s">
        <v>303</v>
      </c>
      <c r="D54" s="313"/>
      <c r="E54" s="315">
        <v>0</v>
      </c>
      <c r="F54" s="315">
        <v>100</v>
      </c>
      <c r="G54" s="315">
        <v>0</v>
      </c>
      <c r="H54" s="340">
        <v>0</v>
      </c>
      <c r="I54" s="483" t="s">
        <v>865</v>
      </c>
      <c r="J54" s="360" t="s">
        <v>648</v>
      </c>
      <c r="K54" s="360" t="s">
        <v>871</v>
      </c>
      <c r="L54" s="360" t="s">
        <v>868</v>
      </c>
      <c r="M54" s="473">
        <f>_xlfn.XLOOKUP(I54,'Utslippsfaktorer Transport'!$A$10:$A$19,'Utslippsfaktorer Transport'!$B$10:$B$19)*_xlfn.XLOOKUP(J54,'Utslippsfaktorer Transport'!$A$34:$A$52,'Utslippsfaktorer Transport'!$E$34:$E$52)</f>
        <v>64.47</v>
      </c>
      <c r="N54" s="442">
        <f>_xlfn.XLOOKUP(K54,'Utslippsfaktorer Transport'!$A$27:$A$29,'Utslippsfaktorer Transport'!$F$27:$F$29)</f>
        <v>17.5</v>
      </c>
      <c r="O54" s="902">
        <f>_xlfn.XLOOKUP(L54,'Utslippsfaktorer Transport'!$A$23:$A$25,'Utslippsfaktorer Transport'!$C$23:$C$25)</f>
        <v>0</v>
      </c>
      <c r="T54" s="316"/>
      <c r="AG54" s="373" t="s">
        <v>303</v>
      </c>
      <c r="AH54" s="442">
        <f>E54*F54*_xlfn.XLOOKUP(I54,'Utslippsfaktorer Transport'!$A$9:$A$19,'Utslippsfaktorer Transport'!$B$9:$B$19)*_xlfn.XLOOKUP(J54,'Utslippsfaktorer Transport'!$A$33:$A$52,'Utslippsfaktorer Transport'!$B$33:$B$52)/1000</f>
        <v>0</v>
      </c>
      <c r="AI54" s="442">
        <f>E54*F54*_xlfn.XLOOKUP(I54,'Utslippsfaktorer Transport'!$A$9:$A$19,'Utslippsfaktorer Transport'!$B$9:$B$19)*_xlfn.XLOOKUP(J54,'Utslippsfaktorer Transport'!$A$33:$A$52,'Utslippsfaktorer Transport'!$C$33:$C$52)/1000</f>
        <v>0</v>
      </c>
      <c r="AJ54" s="442">
        <f>E54*F54*_xlfn.XLOOKUP(I54,'Utslippsfaktorer Transport'!$A$9:$A$19,'Utslippsfaktorer Transport'!$B$9:$B$19)*_xlfn.XLOOKUP(J54,'Utslippsfaktorer Transport'!$A$33:$A$52,'Utslippsfaktorer Transport'!$D$33:$D$52)/1000</f>
        <v>0</v>
      </c>
      <c r="AK54" s="904">
        <f>E54*G54*_xlfn.XLOOKUP(K54,'Utslippsfaktorer Transport'!$A$26:$A$29,'Utslippsfaktorer Transport'!$F$26:$F$29)/1000</f>
        <v>0</v>
      </c>
      <c r="AL54" s="904">
        <f>E54*G54*_xlfn.XLOOKUP(K54,'Utslippsfaktorer Transport'!$A$26:$A$29,'Utslippsfaktorer Transport'!$G$26:$G$29)/1000</f>
        <v>0</v>
      </c>
      <c r="AM54" s="904">
        <f>E54*G54*_xlfn.XLOOKUP(K54,'Utslippsfaktorer Transport'!$A$26:$A$29,'Utslippsfaktorer Transport'!$H$26:$H$29)/1000</f>
        <v>0</v>
      </c>
      <c r="AN54" s="442">
        <f>H54*E54*_xlfn.XLOOKUP(L54,'Utslippsfaktorer Transport'!$A$23:$A$25,'Utslippsfaktorer Transport'!$C$23:$C$25)/1000</f>
        <v>0</v>
      </c>
      <c r="AO54" s="442">
        <f>H54*E54*_xlfn.XLOOKUP(L54,'Utslippsfaktorer Transport'!$A$23:$A$25,'Utslippsfaktorer Transport'!$D$23:$D$25)/1000</f>
        <v>0</v>
      </c>
      <c r="AP54" s="902">
        <f>H54*E54*_xlfn.XLOOKUP(L54,'Utslippsfaktorer Transport'!$A$23:$A$25,'Utslippsfaktorer Transport'!$E$23:$E$25)/1000</f>
        <v>0</v>
      </c>
    </row>
    <row r="55" spans="1:42" ht="15.6" outlineLevel="1" x14ac:dyDescent="0.35">
      <c r="A55" s="315">
        <v>0</v>
      </c>
      <c r="B55" s="906">
        <f>VLOOKUP(C55,'Vann og Avløp-utslippsfaktorer'!$A$3:$D$82,4,FALSE)</f>
        <v>871</v>
      </c>
      <c r="C55" s="373" t="s">
        <v>304</v>
      </c>
      <c r="D55" s="313"/>
      <c r="E55" s="315">
        <v>0</v>
      </c>
      <c r="F55" s="315">
        <v>100</v>
      </c>
      <c r="G55" s="315">
        <v>0</v>
      </c>
      <c r="H55" s="340">
        <v>0</v>
      </c>
      <c r="I55" s="483" t="s">
        <v>865</v>
      </c>
      <c r="J55" s="360" t="s">
        <v>648</v>
      </c>
      <c r="K55" s="360" t="s">
        <v>871</v>
      </c>
      <c r="L55" s="360" t="s">
        <v>868</v>
      </c>
      <c r="M55" s="473">
        <f>_xlfn.XLOOKUP(I55,'Utslippsfaktorer Transport'!$A$10:$A$19,'Utslippsfaktorer Transport'!$B$10:$B$19)*_xlfn.XLOOKUP(J55,'Utslippsfaktorer Transport'!$A$34:$A$52,'Utslippsfaktorer Transport'!$E$34:$E$52)</f>
        <v>64.47</v>
      </c>
      <c r="N55" s="442">
        <f>_xlfn.XLOOKUP(K55,'Utslippsfaktorer Transport'!$A$27:$A$29,'Utslippsfaktorer Transport'!$F$27:$F$29)</f>
        <v>17.5</v>
      </c>
      <c r="O55" s="902">
        <f>_xlfn.XLOOKUP(L55,'Utslippsfaktorer Transport'!$A$23:$A$25,'Utslippsfaktorer Transport'!$C$23:$C$25)</f>
        <v>0</v>
      </c>
      <c r="T55" s="316"/>
      <c r="AG55" s="373" t="s">
        <v>304</v>
      </c>
      <c r="AH55" s="442">
        <f>E55*F55*_xlfn.XLOOKUP(I55,'Utslippsfaktorer Transport'!$A$9:$A$19,'Utslippsfaktorer Transport'!$B$9:$B$19)*_xlfn.XLOOKUP(J55,'Utslippsfaktorer Transport'!$A$33:$A$52,'Utslippsfaktorer Transport'!$B$33:$B$52)/1000</f>
        <v>0</v>
      </c>
      <c r="AI55" s="442">
        <f>E55*F55*_xlfn.XLOOKUP(I55,'Utslippsfaktorer Transport'!$A$9:$A$19,'Utslippsfaktorer Transport'!$B$9:$B$19)*_xlfn.XLOOKUP(J55,'Utslippsfaktorer Transport'!$A$33:$A$52,'Utslippsfaktorer Transport'!$C$33:$C$52)/1000</f>
        <v>0</v>
      </c>
      <c r="AJ55" s="442">
        <f>E55*F55*_xlfn.XLOOKUP(I55,'Utslippsfaktorer Transport'!$A$9:$A$19,'Utslippsfaktorer Transport'!$B$9:$B$19)*_xlfn.XLOOKUP(J55,'Utslippsfaktorer Transport'!$A$33:$A$52,'Utslippsfaktorer Transport'!$D$33:$D$52)/1000</f>
        <v>0</v>
      </c>
      <c r="AK55" s="904">
        <f>E55*G55*_xlfn.XLOOKUP(K55,'Utslippsfaktorer Transport'!$A$26:$A$29,'Utslippsfaktorer Transport'!$F$26:$F$29)/1000</f>
        <v>0</v>
      </c>
      <c r="AL55" s="904">
        <f>E55*G55*_xlfn.XLOOKUP(K55,'Utslippsfaktorer Transport'!$A$26:$A$29,'Utslippsfaktorer Transport'!$G$26:$G$29)/1000</f>
        <v>0</v>
      </c>
      <c r="AM55" s="904">
        <f>E55*G55*_xlfn.XLOOKUP(K55,'Utslippsfaktorer Transport'!$A$26:$A$29,'Utslippsfaktorer Transport'!$H$26:$H$29)/1000</f>
        <v>0</v>
      </c>
      <c r="AN55" s="442">
        <f>H55*E55*_xlfn.XLOOKUP(L55,'Utslippsfaktorer Transport'!$A$23:$A$25,'Utslippsfaktorer Transport'!$C$23:$C$25)/1000</f>
        <v>0</v>
      </c>
      <c r="AO55" s="442">
        <f>H55*E55*_xlfn.XLOOKUP(L55,'Utslippsfaktorer Transport'!$A$23:$A$25,'Utslippsfaktorer Transport'!$D$23:$D$25)/1000</f>
        <v>0</v>
      </c>
      <c r="AP55" s="902">
        <f>H55*E55*_xlfn.XLOOKUP(L55,'Utslippsfaktorer Transport'!$A$23:$A$25,'Utslippsfaktorer Transport'!$E$23:$E$25)/1000</f>
        <v>0</v>
      </c>
    </row>
    <row r="56" spans="1:42" ht="15.6" outlineLevel="1" x14ac:dyDescent="0.35">
      <c r="A56" s="315">
        <v>0</v>
      </c>
      <c r="B56" s="906">
        <f>VLOOKUP(C56,'Vann og Avløp-utslippsfaktorer'!$A$3:$D$82,4,FALSE)</f>
        <v>12.6</v>
      </c>
      <c r="C56" s="373" t="s">
        <v>306</v>
      </c>
      <c r="D56" s="313"/>
      <c r="E56" s="315">
        <v>0</v>
      </c>
      <c r="F56" s="315">
        <v>100</v>
      </c>
      <c r="G56" s="315">
        <v>0</v>
      </c>
      <c r="H56" s="340">
        <v>0</v>
      </c>
      <c r="I56" s="483" t="s">
        <v>865</v>
      </c>
      <c r="J56" s="360" t="s">
        <v>648</v>
      </c>
      <c r="K56" s="360" t="s">
        <v>871</v>
      </c>
      <c r="L56" s="360" t="s">
        <v>868</v>
      </c>
      <c r="M56" s="473">
        <f>_xlfn.XLOOKUP(I56,'Utslippsfaktorer Transport'!$A$10:$A$19,'Utslippsfaktorer Transport'!$B$10:$B$19)*_xlfn.XLOOKUP(J56,'Utslippsfaktorer Transport'!$A$34:$A$52,'Utslippsfaktorer Transport'!$E$34:$E$52)</f>
        <v>64.47</v>
      </c>
      <c r="N56" s="442">
        <f>_xlfn.XLOOKUP(K56,'Utslippsfaktorer Transport'!$A$27:$A$29,'Utslippsfaktorer Transport'!$F$27:$F$29)</f>
        <v>17.5</v>
      </c>
      <c r="O56" s="902">
        <f>_xlfn.XLOOKUP(L56,'Utslippsfaktorer Transport'!$A$23:$A$25,'Utslippsfaktorer Transport'!$C$23:$C$25)</f>
        <v>0</v>
      </c>
      <c r="T56" s="316"/>
      <c r="AG56" s="373" t="s">
        <v>306</v>
      </c>
      <c r="AH56" s="442">
        <f>E56*F56*_xlfn.XLOOKUP(I56,'Utslippsfaktorer Transport'!$A$9:$A$19,'Utslippsfaktorer Transport'!$B$9:$B$19)*_xlfn.XLOOKUP(J56,'Utslippsfaktorer Transport'!$A$33:$A$52,'Utslippsfaktorer Transport'!$B$33:$B$52)/1000</f>
        <v>0</v>
      </c>
      <c r="AI56" s="442">
        <f>E56*F56*_xlfn.XLOOKUP(I56,'Utslippsfaktorer Transport'!$A$9:$A$19,'Utslippsfaktorer Transport'!$B$9:$B$19)*_xlfn.XLOOKUP(J56,'Utslippsfaktorer Transport'!$A$33:$A$52,'Utslippsfaktorer Transport'!$C$33:$C$52)/1000</f>
        <v>0</v>
      </c>
      <c r="AJ56" s="442">
        <f>E56*F56*_xlfn.XLOOKUP(I56,'Utslippsfaktorer Transport'!$A$9:$A$19,'Utslippsfaktorer Transport'!$B$9:$B$19)*_xlfn.XLOOKUP(J56,'Utslippsfaktorer Transport'!$A$33:$A$52,'Utslippsfaktorer Transport'!$D$33:$D$52)/1000</f>
        <v>0</v>
      </c>
      <c r="AK56" s="904">
        <f>E56*G56*_xlfn.XLOOKUP(K56,'Utslippsfaktorer Transport'!$A$26:$A$29,'Utslippsfaktorer Transport'!$F$26:$F$29)/1000</f>
        <v>0</v>
      </c>
      <c r="AL56" s="904">
        <f>E56*G56*_xlfn.XLOOKUP(K56,'Utslippsfaktorer Transport'!$A$26:$A$29,'Utslippsfaktorer Transport'!$G$26:$G$29)/1000</f>
        <v>0</v>
      </c>
      <c r="AM56" s="904">
        <f>E56*G56*_xlfn.XLOOKUP(K56,'Utslippsfaktorer Transport'!$A$26:$A$29,'Utslippsfaktorer Transport'!$H$26:$H$29)/1000</f>
        <v>0</v>
      </c>
      <c r="AN56" s="442">
        <f>H56*E56*_xlfn.XLOOKUP(L56,'Utslippsfaktorer Transport'!$A$23:$A$25,'Utslippsfaktorer Transport'!$C$23:$C$25)/1000</f>
        <v>0</v>
      </c>
      <c r="AO56" s="442">
        <f>H56*E56*_xlfn.XLOOKUP(L56,'Utslippsfaktorer Transport'!$A$23:$A$25,'Utslippsfaktorer Transport'!$D$23:$D$25)/1000</f>
        <v>0</v>
      </c>
      <c r="AP56" s="902">
        <f>H56*E56*_xlfn.XLOOKUP(L56,'Utslippsfaktorer Transport'!$A$23:$A$25,'Utslippsfaktorer Transport'!$E$23:$E$25)/1000</f>
        <v>0</v>
      </c>
    </row>
    <row r="57" spans="1:42" outlineLevel="1" x14ac:dyDescent="0.3">
      <c r="A57" s="315">
        <v>0</v>
      </c>
      <c r="B57" s="906">
        <f>VLOOKUP(C57,'Vann og Avløp-utslippsfaktorer'!$A$3:$D$82,4,FALSE)</f>
        <v>403</v>
      </c>
      <c r="C57" s="373" t="s">
        <v>305</v>
      </c>
      <c r="D57" s="313"/>
      <c r="E57" s="315">
        <v>0</v>
      </c>
      <c r="F57" s="315">
        <v>100</v>
      </c>
      <c r="G57" s="315">
        <v>0</v>
      </c>
      <c r="H57" s="340">
        <v>0</v>
      </c>
      <c r="I57" s="483" t="s">
        <v>865</v>
      </c>
      <c r="J57" s="360" t="s">
        <v>648</v>
      </c>
      <c r="K57" s="360" t="s">
        <v>871</v>
      </c>
      <c r="L57" s="360" t="s">
        <v>868</v>
      </c>
      <c r="M57" s="473">
        <f>_xlfn.XLOOKUP(I57,'Utslippsfaktorer Transport'!$A$10:$A$19,'Utslippsfaktorer Transport'!$B$10:$B$19)*_xlfn.XLOOKUP(J57,'Utslippsfaktorer Transport'!$A$34:$A$52,'Utslippsfaktorer Transport'!$E$34:$E$52)</f>
        <v>64.47</v>
      </c>
      <c r="N57" s="442">
        <f>_xlfn.XLOOKUP(K57,'Utslippsfaktorer Transport'!$A$27:$A$29,'Utslippsfaktorer Transport'!$F$27:$F$29)</f>
        <v>17.5</v>
      </c>
      <c r="O57" s="902">
        <f>_xlfn.XLOOKUP(L57,'Utslippsfaktorer Transport'!$A$23:$A$25,'Utslippsfaktorer Transport'!$C$23:$C$25)</f>
        <v>0</v>
      </c>
      <c r="T57" s="316"/>
      <c r="AG57" s="373" t="s">
        <v>305</v>
      </c>
      <c r="AH57" s="442">
        <f>E57*F57*_xlfn.XLOOKUP(I57,'Utslippsfaktorer Transport'!$A$9:$A$19,'Utslippsfaktorer Transport'!$B$9:$B$19)*_xlfn.XLOOKUP(J57,'Utslippsfaktorer Transport'!$A$33:$A$52,'Utslippsfaktorer Transport'!$B$33:$B$52)/1000</f>
        <v>0</v>
      </c>
      <c r="AI57" s="442">
        <f>E57*F57*_xlfn.XLOOKUP(I57,'Utslippsfaktorer Transport'!$A$9:$A$19,'Utslippsfaktorer Transport'!$B$9:$B$19)*_xlfn.XLOOKUP(J57,'Utslippsfaktorer Transport'!$A$33:$A$52,'Utslippsfaktorer Transport'!$C$33:$C$52)/1000</f>
        <v>0</v>
      </c>
      <c r="AJ57" s="442">
        <f>E57*F57*_xlfn.XLOOKUP(I57,'Utslippsfaktorer Transport'!$A$9:$A$19,'Utslippsfaktorer Transport'!$B$9:$B$19)*_xlfn.XLOOKUP(J57,'Utslippsfaktorer Transport'!$A$33:$A$52,'Utslippsfaktorer Transport'!$D$33:$D$52)/1000</f>
        <v>0</v>
      </c>
      <c r="AK57" s="904">
        <f>E57*G57*_xlfn.XLOOKUP(K57,'Utslippsfaktorer Transport'!$A$26:$A$29,'Utslippsfaktorer Transport'!$F$26:$F$29)/1000</f>
        <v>0</v>
      </c>
      <c r="AL57" s="904">
        <f>E57*G57*_xlfn.XLOOKUP(K57,'Utslippsfaktorer Transport'!$A$26:$A$29,'Utslippsfaktorer Transport'!$G$26:$G$29)/1000</f>
        <v>0</v>
      </c>
      <c r="AM57" s="904">
        <f>E57*G57*_xlfn.XLOOKUP(K57,'Utslippsfaktorer Transport'!$A$26:$A$29,'Utslippsfaktorer Transport'!$H$26:$H$29)/1000</f>
        <v>0</v>
      </c>
      <c r="AN57" s="442">
        <f>H57*E57*_xlfn.XLOOKUP(L57,'Utslippsfaktorer Transport'!$A$23:$A$25,'Utslippsfaktorer Transport'!$C$23:$C$25)/1000</f>
        <v>0</v>
      </c>
      <c r="AO57" s="442">
        <f>H57*E57*_xlfn.XLOOKUP(L57,'Utslippsfaktorer Transport'!$A$23:$A$25,'Utslippsfaktorer Transport'!$D$23:$D$25)/1000</f>
        <v>0</v>
      </c>
      <c r="AP57" s="902">
        <f>H57*E57*_xlfn.XLOOKUP(L57,'Utslippsfaktorer Transport'!$A$23:$A$25,'Utslippsfaktorer Transport'!$E$23:$E$25)/1000</f>
        <v>0</v>
      </c>
    </row>
    <row r="58" spans="1:42" ht="15" outlineLevel="1" thickBot="1" x14ac:dyDescent="0.35">
      <c r="A58" s="319">
        <v>0</v>
      </c>
      <c r="B58" s="907">
        <f>VLOOKUP(C58,'Vann og Avløp-utslippsfaktorer'!$A$3:$D$82,4,FALSE)</f>
        <v>241.8</v>
      </c>
      <c r="C58" s="376" t="s">
        <v>540</v>
      </c>
      <c r="D58" s="318"/>
      <c r="E58" s="319">
        <v>0</v>
      </c>
      <c r="F58" s="319">
        <v>100</v>
      </c>
      <c r="G58" s="319">
        <v>0</v>
      </c>
      <c r="H58" s="352">
        <v>0</v>
      </c>
      <c r="I58" s="365" t="s">
        <v>865</v>
      </c>
      <c r="J58" s="329" t="s">
        <v>648</v>
      </c>
      <c r="K58" s="329" t="s">
        <v>871</v>
      </c>
      <c r="L58" s="329" t="s">
        <v>868</v>
      </c>
      <c r="M58" s="479">
        <f>_xlfn.XLOOKUP(I58,'Utslippsfaktorer Transport'!$A$10:$A$19,'Utslippsfaktorer Transport'!$B$10:$B$19)*_xlfn.XLOOKUP(J58,'Utslippsfaktorer Transport'!$A$34:$A$52,'Utslippsfaktorer Transport'!$E$34:$E$52)</f>
        <v>64.47</v>
      </c>
      <c r="N58" s="441">
        <f>_xlfn.XLOOKUP(K58,'Utslippsfaktorer Transport'!$A$27:$A$29,'Utslippsfaktorer Transport'!$F$27:$F$29)</f>
        <v>17.5</v>
      </c>
      <c r="O58" s="903">
        <f>_xlfn.XLOOKUP(L58,'Utslippsfaktorer Transport'!$A$23:$A$25,'Utslippsfaktorer Transport'!$C$23:$C$25)</f>
        <v>0</v>
      </c>
      <c r="P58" s="318"/>
      <c r="Q58" s="318"/>
      <c r="R58" s="318"/>
      <c r="S58" s="318"/>
      <c r="T58" s="320"/>
      <c r="AG58" s="376" t="s">
        <v>540</v>
      </c>
      <c r="AH58" s="441">
        <f>E58*F58*_xlfn.XLOOKUP(I58,'Utslippsfaktorer Transport'!$A$9:$A$19,'Utslippsfaktorer Transport'!$B$9:$B$19)*_xlfn.XLOOKUP(J58,'Utslippsfaktorer Transport'!$A$33:$A$52,'Utslippsfaktorer Transport'!$B$33:$B$52)/1000</f>
        <v>0</v>
      </c>
      <c r="AI58" s="441">
        <f>E58*F58*_xlfn.XLOOKUP(I58,'Utslippsfaktorer Transport'!$A$9:$A$19,'Utslippsfaktorer Transport'!$B$9:$B$19)*_xlfn.XLOOKUP(J58,'Utslippsfaktorer Transport'!$A$33:$A$52,'Utslippsfaktorer Transport'!$C$33:$C$52)/1000</f>
        <v>0</v>
      </c>
      <c r="AJ58" s="441">
        <f>E58*F58*_xlfn.XLOOKUP(I58,'Utslippsfaktorer Transport'!$A$9:$A$19,'Utslippsfaktorer Transport'!$B$9:$B$19)*_xlfn.XLOOKUP(J58,'Utslippsfaktorer Transport'!$A$33:$A$52,'Utslippsfaktorer Transport'!$D$33:$D$52)/1000</f>
        <v>0</v>
      </c>
      <c r="AK58" s="905">
        <f>E58*G58*_xlfn.XLOOKUP(K58,'Utslippsfaktorer Transport'!$A$26:$A$29,'Utslippsfaktorer Transport'!$F$26:$F$29)/1000</f>
        <v>0</v>
      </c>
      <c r="AL58" s="905">
        <f>E58*G58*_xlfn.XLOOKUP(K58,'Utslippsfaktorer Transport'!$A$26:$A$29,'Utslippsfaktorer Transport'!$G$26:$G$29)/1000</f>
        <v>0</v>
      </c>
      <c r="AM58" s="905">
        <f>E58*G58*_xlfn.XLOOKUP(K58,'Utslippsfaktorer Transport'!$A$26:$A$29,'Utslippsfaktorer Transport'!$H$26:$H$29)/1000</f>
        <v>0</v>
      </c>
      <c r="AN58" s="441">
        <f>H58*E58*_xlfn.XLOOKUP(L58,'Utslippsfaktorer Transport'!$A$23:$A$25,'Utslippsfaktorer Transport'!$C$23:$C$25)/1000</f>
        <v>0</v>
      </c>
      <c r="AO58" s="441">
        <f>H58*E58*_xlfn.XLOOKUP(L58,'Utslippsfaktorer Transport'!$A$23:$A$25,'Utslippsfaktorer Transport'!$D$23:$D$25)/1000</f>
        <v>0</v>
      </c>
      <c r="AP58" s="903">
        <f>H58*E58*_xlfn.XLOOKUP(L58,'Utslippsfaktorer Transport'!$A$23:$A$25,'Utslippsfaktorer Transport'!$E$23:$E$25)/1000</f>
        <v>0</v>
      </c>
    </row>
    <row r="59" spans="1:42" x14ac:dyDescent="0.3">
      <c r="AK59" s="660"/>
      <c r="AL59" s="660"/>
      <c r="AM59" s="660"/>
    </row>
    <row r="60" spans="1:42" ht="15" outlineLevel="1" thickBot="1" x14ac:dyDescent="0.35">
      <c r="C60" s="334" t="s">
        <v>1018</v>
      </c>
      <c r="D60" s="334"/>
      <c r="AK60" s="660"/>
      <c r="AL60" s="660"/>
      <c r="AM60" s="660"/>
    </row>
    <row r="61" spans="1:42" ht="15.6" outlineLevel="1" x14ac:dyDescent="0.3">
      <c r="A61" s="471" t="s">
        <v>777</v>
      </c>
      <c r="B61" s="683" t="s">
        <v>330</v>
      </c>
      <c r="C61" s="654" t="s">
        <v>314</v>
      </c>
      <c r="D61" s="687" t="s">
        <v>763</v>
      </c>
      <c r="E61" s="656" t="s">
        <v>321</v>
      </c>
      <c r="F61" s="656" t="s">
        <v>669</v>
      </c>
      <c r="G61" s="656" t="s">
        <v>667</v>
      </c>
      <c r="H61" s="419" t="s">
        <v>670</v>
      </c>
      <c r="I61" s="378" t="s">
        <v>891</v>
      </c>
      <c r="J61" s="307" t="s">
        <v>892</v>
      </c>
      <c r="K61" s="307" t="s">
        <v>893</v>
      </c>
      <c r="L61" s="307" t="s">
        <v>890</v>
      </c>
      <c r="M61" s="307" t="s">
        <v>894</v>
      </c>
      <c r="N61" s="307" t="s">
        <v>895</v>
      </c>
      <c r="O61" s="419" t="s">
        <v>901</v>
      </c>
      <c r="P61" s="458"/>
      <c r="Q61" s="458"/>
      <c r="R61" s="458"/>
      <c r="S61" s="458"/>
      <c r="T61" s="459"/>
      <c r="AG61" s="654" t="s">
        <v>314</v>
      </c>
      <c r="AH61" s="307"/>
      <c r="AI61" s="307"/>
      <c r="AJ61" s="307"/>
      <c r="AK61" s="661"/>
      <c r="AL61" s="661"/>
      <c r="AM61" s="661"/>
      <c r="AN61" s="307"/>
      <c r="AO61" s="307"/>
      <c r="AP61" s="419"/>
    </row>
    <row r="62" spans="1:42" outlineLevel="1" x14ac:dyDescent="0.3">
      <c r="A62" s="338">
        <v>0</v>
      </c>
      <c r="B62" s="922">
        <f>VLOOKUP(C62,'Vann og Avløp-utslippsfaktorer'!$A$3:$D$82,4,FALSE)</f>
        <v>2880</v>
      </c>
      <c r="C62" s="373" t="s">
        <v>622</v>
      </c>
      <c r="D62" s="688">
        <v>1</v>
      </c>
      <c r="E62" s="315">
        <v>0</v>
      </c>
      <c r="F62" s="315">
        <v>100</v>
      </c>
      <c r="G62" s="315">
        <v>0</v>
      </c>
      <c r="H62" s="340">
        <v>0</v>
      </c>
      <c r="I62" s="483" t="s">
        <v>865</v>
      </c>
      <c r="J62" s="360" t="s">
        <v>648</v>
      </c>
      <c r="K62" s="360" t="s">
        <v>871</v>
      </c>
      <c r="L62" s="360" t="s">
        <v>868</v>
      </c>
      <c r="M62" s="473">
        <f>_xlfn.XLOOKUP(I62,'Utslippsfaktorer Transport'!$A$10:$A$19,'Utslippsfaktorer Transport'!$B$10:$B$19)*_xlfn.XLOOKUP(J62,'Utslippsfaktorer Transport'!$A$34:$A$52,'Utslippsfaktorer Transport'!$E$34:$E$52)</f>
        <v>64.47</v>
      </c>
      <c r="N62" s="442">
        <f>_xlfn.XLOOKUP(K62,'Utslippsfaktorer Transport'!$A$27:$A$29,'Utslippsfaktorer Transport'!$F$27:$F$29)</f>
        <v>17.5</v>
      </c>
      <c r="O62" s="902">
        <f>_xlfn.XLOOKUP(L62,'Utslippsfaktorer Transport'!$A$23:$A$25,'Utslippsfaktorer Transport'!$C$23:$C$25)</f>
        <v>0</v>
      </c>
      <c r="P62" s="313"/>
      <c r="Q62" s="313"/>
      <c r="R62" s="313"/>
      <c r="S62" s="313"/>
      <c r="T62" s="316"/>
      <c r="AG62" s="373" t="s">
        <v>622</v>
      </c>
      <c r="AH62" s="442">
        <f>E62*F62*_xlfn.XLOOKUP(I62,'Utslippsfaktorer Transport'!$A$9:$A$19,'Utslippsfaktorer Transport'!$B$9:$B$19)*_xlfn.XLOOKUP(J62,'Utslippsfaktorer Transport'!$A$33:$A$52,'Utslippsfaktorer Transport'!$B$33:$B$52)/1000/D62</f>
        <v>0</v>
      </c>
      <c r="AI62" s="442">
        <f>E62*F62*_xlfn.XLOOKUP(I62,'Utslippsfaktorer Transport'!$A$9:$A$19,'Utslippsfaktorer Transport'!$B$9:$B$19)*_xlfn.XLOOKUP(J62,'Utslippsfaktorer Transport'!$A$33:$A$52,'Utslippsfaktorer Transport'!$C$33:$C$52)/1000/D62</f>
        <v>0</v>
      </c>
      <c r="AJ62" s="442">
        <f>E62*F62*_xlfn.XLOOKUP(I62,'Utslippsfaktorer Transport'!$A$9:$A$19,'Utslippsfaktorer Transport'!$B$9:$B$19)*_xlfn.XLOOKUP(J62,'Utslippsfaktorer Transport'!$A$33:$A$52,'Utslippsfaktorer Transport'!$D$33:$D$52)/1000/D62</f>
        <v>0</v>
      </c>
      <c r="AK62" s="904">
        <f>E62*G62*_xlfn.XLOOKUP(K62,'Utslippsfaktorer Transport'!$A$26:$A$29,'Utslippsfaktorer Transport'!$F$26:$F$29)/1000/D62</f>
        <v>0</v>
      </c>
      <c r="AL62" s="904">
        <f>E62*G62*_xlfn.XLOOKUP(K62,'Utslippsfaktorer Transport'!$A$26:$A$29,'Utslippsfaktorer Transport'!$G$26:$G$29)/1000/D62</f>
        <v>0</v>
      </c>
      <c r="AM62" s="904">
        <f>E62*G62*_xlfn.XLOOKUP(K62,'Utslippsfaktorer Transport'!$A$26:$A$29,'Utslippsfaktorer Transport'!$H$26:$H$29)/1000/D62</f>
        <v>0</v>
      </c>
      <c r="AN62" s="442">
        <f>H62*E62*_xlfn.XLOOKUP(L62,'Utslippsfaktorer Transport'!$A$23:$A$25,'Utslippsfaktorer Transport'!$C$23:$C$25)/1000/D62</f>
        <v>0</v>
      </c>
      <c r="AO62" s="442">
        <f>H62*E62*_xlfn.XLOOKUP(L62,'Utslippsfaktorer Transport'!$A$23:$A$25,'Utslippsfaktorer Transport'!$D$23:$D$25)/1000/D62</f>
        <v>0</v>
      </c>
      <c r="AP62" s="902">
        <f>H62*E62*_xlfn.XLOOKUP(L62,'Utslippsfaktorer Transport'!$A$23:$A$25,'Utslippsfaktorer Transport'!$E$23:$E$25)/1000/D62</f>
        <v>0</v>
      </c>
    </row>
    <row r="63" spans="1:42" outlineLevel="1" x14ac:dyDescent="0.3">
      <c r="A63" s="338">
        <v>0</v>
      </c>
      <c r="B63" s="906">
        <f>VLOOKUP(C63,'Vann og Avløp-utslippsfaktorer'!$A$3:$D$82,4,FALSE)</f>
        <v>1130</v>
      </c>
      <c r="C63" s="373" t="s">
        <v>909</v>
      </c>
      <c r="D63" s="689">
        <v>1</v>
      </c>
      <c r="E63" s="315">
        <v>0</v>
      </c>
      <c r="F63" s="315">
        <v>100</v>
      </c>
      <c r="G63" s="315">
        <v>0</v>
      </c>
      <c r="H63" s="340">
        <v>0</v>
      </c>
      <c r="I63" s="483" t="s">
        <v>865</v>
      </c>
      <c r="J63" s="360" t="s">
        <v>648</v>
      </c>
      <c r="K63" s="360" t="s">
        <v>871</v>
      </c>
      <c r="L63" s="360" t="s">
        <v>868</v>
      </c>
      <c r="M63" s="473">
        <f>_xlfn.XLOOKUP(I63,'Utslippsfaktorer Transport'!$A$10:$A$19,'Utslippsfaktorer Transport'!$B$10:$B$19)*_xlfn.XLOOKUP(J63,'Utslippsfaktorer Transport'!$A$34:$A$52,'Utslippsfaktorer Transport'!$E$34:$E$52)</f>
        <v>64.47</v>
      </c>
      <c r="N63" s="442">
        <f>_xlfn.XLOOKUP(K63,'Utslippsfaktorer Transport'!$A$27:$A$29,'Utslippsfaktorer Transport'!$F$27:$F$29)</f>
        <v>17.5</v>
      </c>
      <c r="O63" s="902">
        <f>_xlfn.XLOOKUP(L63,'Utslippsfaktorer Transport'!$A$23:$A$25,'Utslippsfaktorer Transport'!$C$23:$C$25)</f>
        <v>0</v>
      </c>
      <c r="P63" s="313"/>
      <c r="Q63" s="313"/>
      <c r="R63" s="313"/>
      <c r="S63" s="313"/>
      <c r="T63" s="316"/>
      <c r="AG63" s="373" t="s">
        <v>909</v>
      </c>
      <c r="AH63" s="442">
        <f>E63*F63*_xlfn.XLOOKUP(I63,'Utslippsfaktorer Transport'!$A$9:$A$19,'Utslippsfaktorer Transport'!$B$9:$B$19)*_xlfn.XLOOKUP(J63,'Utslippsfaktorer Transport'!$A$33:$A$52,'Utslippsfaktorer Transport'!$B$33:$B$52)/1000/D63</f>
        <v>0</v>
      </c>
      <c r="AI63" s="442">
        <f>E63*F63*_xlfn.XLOOKUP(I63,'Utslippsfaktorer Transport'!$A$9:$A$19,'Utslippsfaktorer Transport'!$B$9:$B$19)*_xlfn.XLOOKUP(J63,'Utslippsfaktorer Transport'!$A$33:$A$52,'Utslippsfaktorer Transport'!$C$33:$C$52)/1000/D63</f>
        <v>0</v>
      </c>
      <c r="AJ63" s="442">
        <f>E63*F63*_xlfn.XLOOKUP(I63,'Utslippsfaktorer Transport'!$A$9:$A$19,'Utslippsfaktorer Transport'!$B$9:$B$19)*_xlfn.XLOOKUP(J63,'Utslippsfaktorer Transport'!$A$33:$A$52,'Utslippsfaktorer Transport'!$D$33:$D$52)/1000/D63</f>
        <v>0</v>
      </c>
      <c r="AK63" s="904">
        <f>E63*G63*_xlfn.XLOOKUP(K63,'Utslippsfaktorer Transport'!$A$26:$A$29,'Utslippsfaktorer Transport'!$F$26:$F$29)/1000/D63</f>
        <v>0</v>
      </c>
      <c r="AL63" s="904">
        <f>E63*G63*_xlfn.XLOOKUP(K63,'Utslippsfaktorer Transport'!$A$26:$A$29,'Utslippsfaktorer Transport'!$G$26:$G$29)/1000/D63</f>
        <v>0</v>
      </c>
      <c r="AM63" s="904">
        <f>E63*G63*_xlfn.XLOOKUP(K63,'Utslippsfaktorer Transport'!$A$26:$A$29,'Utslippsfaktorer Transport'!$H$26:$H$29)/1000/D63</f>
        <v>0</v>
      </c>
      <c r="AN63" s="442">
        <f>H63*E63*_xlfn.XLOOKUP(L63,'Utslippsfaktorer Transport'!$A$23:$A$25,'Utslippsfaktorer Transport'!$C$23:$C$25)/1000/D63</f>
        <v>0</v>
      </c>
      <c r="AO63" s="442">
        <f>H63*E63*_xlfn.XLOOKUP(L63,'Utslippsfaktorer Transport'!$A$23:$A$25,'Utslippsfaktorer Transport'!$D$23:$D$25)/1000/D63</f>
        <v>0</v>
      </c>
      <c r="AP63" s="902">
        <f>H63*E63*_xlfn.XLOOKUP(L63,'Utslippsfaktorer Transport'!$A$23:$A$25,'Utslippsfaktorer Transport'!$E$23:$E$25)/1000/D63</f>
        <v>0</v>
      </c>
    </row>
    <row r="64" spans="1:42" outlineLevel="1" x14ac:dyDescent="0.3">
      <c r="A64" s="338">
        <v>0</v>
      </c>
      <c r="B64" s="906">
        <f>VLOOKUP(C64,'Vann og Avløp-utslippsfaktorer'!$A$3:$D$82,4,FALSE)</f>
        <v>3390</v>
      </c>
      <c r="C64" s="373" t="s">
        <v>910</v>
      </c>
      <c r="D64" s="689">
        <v>1</v>
      </c>
      <c r="E64" s="315">
        <v>0</v>
      </c>
      <c r="F64" s="315">
        <v>100</v>
      </c>
      <c r="G64" s="315">
        <v>0</v>
      </c>
      <c r="H64" s="340">
        <v>0</v>
      </c>
      <c r="I64" s="483" t="s">
        <v>865</v>
      </c>
      <c r="J64" s="360" t="s">
        <v>648</v>
      </c>
      <c r="K64" s="360" t="s">
        <v>871</v>
      </c>
      <c r="L64" s="360" t="s">
        <v>868</v>
      </c>
      <c r="M64" s="473">
        <f>_xlfn.XLOOKUP(I64,'Utslippsfaktorer Transport'!$A$10:$A$19,'Utslippsfaktorer Transport'!$B$10:$B$19)*_xlfn.XLOOKUP(J64,'Utslippsfaktorer Transport'!$A$34:$A$52,'Utslippsfaktorer Transport'!$E$34:$E$52)</f>
        <v>64.47</v>
      </c>
      <c r="N64" s="442">
        <f>_xlfn.XLOOKUP(K64,'Utslippsfaktorer Transport'!$A$27:$A$29,'Utslippsfaktorer Transport'!$F$27:$F$29)</f>
        <v>17.5</v>
      </c>
      <c r="O64" s="902">
        <f>_xlfn.XLOOKUP(L64,'Utslippsfaktorer Transport'!$A$23:$A$25,'Utslippsfaktorer Transport'!$C$23:$C$25)</f>
        <v>0</v>
      </c>
      <c r="P64" s="313"/>
      <c r="Q64" s="313"/>
      <c r="R64" s="313"/>
      <c r="S64" s="313"/>
      <c r="T64" s="316"/>
      <c r="AG64" s="373" t="s">
        <v>910</v>
      </c>
      <c r="AH64" s="442">
        <f>E64*F64*_xlfn.XLOOKUP(I64,'Utslippsfaktorer Transport'!$A$9:$A$19,'Utslippsfaktorer Transport'!$B$9:$B$19)*_xlfn.XLOOKUP(J64,'Utslippsfaktorer Transport'!$A$33:$A$52,'Utslippsfaktorer Transport'!$B$33:$B$52)/1000/D64</f>
        <v>0</v>
      </c>
      <c r="AI64" s="442">
        <f>E64*F64*_xlfn.XLOOKUP(I64,'Utslippsfaktorer Transport'!$A$9:$A$19,'Utslippsfaktorer Transport'!$B$9:$B$19)*_xlfn.XLOOKUP(J64,'Utslippsfaktorer Transport'!$A$33:$A$52,'Utslippsfaktorer Transport'!$C$33:$C$52)/1000/D64</f>
        <v>0</v>
      </c>
      <c r="AJ64" s="442">
        <f>E64*F64*_xlfn.XLOOKUP(I64,'Utslippsfaktorer Transport'!$A$9:$A$19,'Utslippsfaktorer Transport'!$B$9:$B$19)*_xlfn.XLOOKUP(J64,'Utslippsfaktorer Transport'!$A$33:$A$52,'Utslippsfaktorer Transport'!$D$33:$D$52)/1000/D64</f>
        <v>0</v>
      </c>
      <c r="AK64" s="904">
        <f>E64*G64*_xlfn.XLOOKUP(K64,'Utslippsfaktorer Transport'!$A$26:$A$29,'Utslippsfaktorer Transport'!$F$26:$F$29)/1000/D64</f>
        <v>0</v>
      </c>
      <c r="AL64" s="904">
        <f>E64*G64*_xlfn.XLOOKUP(K64,'Utslippsfaktorer Transport'!$A$26:$A$29,'Utslippsfaktorer Transport'!$G$26:$G$29)/1000/D64</f>
        <v>0</v>
      </c>
      <c r="AM64" s="904">
        <f>E64*G64*_xlfn.XLOOKUP(K64,'Utslippsfaktorer Transport'!$A$26:$A$29,'Utslippsfaktorer Transport'!$H$26:$H$29)/1000/D64</f>
        <v>0</v>
      </c>
      <c r="AN64" s="442">
        <f>H64*E64*_xlfn.XLOOKUP(L64,'Utslippsfaktorer Transport'!$A$23:$A$25,'Utslippsfaktorer Transport'!$C$23:$C$25)/1000/D64</f>
        <v>0</v>
      </c>
      <c r="AO64" s="442">
        <f>H64*E64*_xlfn.XLOOKUP(L64,'Utslippsfaktorer Transport'!$A$23:$A$25,'Utslippsfaktorer Transport'!$D$23:$D$25)/1000/D64</f>
        <v>0</v>
      </c>
      <c r="AP64" s="902">
        <f>H64*E64*_xlfn.XLOOKUP(L64,'Utslippsfaktorer Transport'!$A$23:$A$25,'Utslippsfaktorer Transport'!$E$23:$E$25)/1000/D64</f>
        <v>0</v>
      </c>
    </row>
    <row r="65" spans="1:42" outlineLevel="1" x14ac:dyDescent="0.3">
      <c r="A65" s="338"/>
      <c r="B65" s="906">
        <f>VLOOKUP(C65,'Vann og Avløp-utslippsfaktorer'!$A$3:$D$82,4,FALSE)</f>
        <v>932</v>
      </c>
      <c r="C65" s="373" t="s">
        <v>911</v>
      </c>
      <c r="D65" s="689">
        <v>1</v>
      </c>
      <c r="E65" s="315">
        <v>0</v>
      </c>
      <c r="F65" s="315">
        <v>100</v>
      </c>
      <c r="G65" s="315">
        <v>0</v>
      </c>
      <c r="H65" s="340">
        <v>0</v>
      </c>
      <c r="I65" s="483" t="s">
        <v>865</v>
      </c>
      <c r="J65" s="360" t="s">
        <v>648</v>
      </c>
      <c r="K65" s="360" t="s">
        <v>871</v>
      </c>
      <c r="L65" s="360" t="s">
        <v>868</v>
      </c>
      <c r="M65" s="473">
        <f>_xlfn.XLOOKUP(I65,'Utslippsfaktorer Transport'!$A$10:$A$19,'Utslippsfaktorer Transport'!$B$10:$B$19)*_xlfn.XLOOKUP(J65,'Utslippsfaktorer Transport'!$A$34:$A$52,'Utslippsfaktorer Transport'!$E$34:$E$52)</f>
        <v>64.47</v>
      </c>
      <c r="N65" s="442">
        <f>_xlfn.XLOOKUP(K65,'Utslippsfaktorer Transport'!$A$27:$A$29,'Utslippsfaktorer Transport'!$F$27:$F$29)</f>
        <v>17.5</v>
      </c>
      <c r="O65" s="902">
        <f>_xlfn.XLOOKUP(L65,'Utslippsfaktorer Transport'!$A$23:$A$25,'Utslippsfaktorer Transport'!$C$23:$C$25)</f>
        <v>0</v>
      </c>
      <c r="P65" s="313"/>
      <c r="Q65" s="313"/>
      <c r="R65" s="313"/>
      <c r="S65" s="313"/>
      <c r="T65" s="316"/>
      <c r="AG65" s="373" t="s">
        <v>911</v>
      </c>
      <c r="AH65" s="442">
        <f>E65*F65*_xlfn.XLOOKUP(I65,'Utslippsfaktorer Transport'!$A$9:$A$19,'Utslippsfaktorer Transport'!$B$9:$B$19)*_xlfn.XLOOKUP(J65,'Utslippsfaktorer Transport'!$A$33:$A$52,'Utslippsfaktorer Transport'!$B$33:$B$52)/1000/D65</f>
        <v>0</v>
      </c>
      <c r="AI65" s="442">
        <f>E65*F65*_xlfn.XLOOKUP(I65,'Utslippsfaktorer Transport'!$A$9:$A$19,'Utslippsfaktorer Transport'!$B$9:$B$19)*_xlfn.XLOOKUP(J65,'Utslippsfaktorer Transport'!$A$33:$A$52,'Utslippsfaktorer Transport'!$C$33:$C$52)/1000/D65</f>
        <v>0</v>
      </c>
      <c r="AJ65" s="442">
        <f>E65*F65*_xlfn.XLOOKUP(I65,'Utslippsfaktorer Transport'!$A$9:$A$19,'Utslippsfaktorer Transport'!$B$9:$B$19)*_xlfn.XLOOKUP(J65,'Utslippsfaktorer Transport'!$A$33:$A$52,'Utslippsfaktorer Transport'!$D$33:$D$52)/1000/D65</f>
        <v>0</v>
      </c>
      <c r="AK65" s="904">
        <f>E65*G65*_xlfn.XLOOKUP(K65,'Utslippsfaktorer Transport'!$A$26:$A$29,'Utslippsfaktorer Transport'!$F$26:$F$29)/1000/D65</f>
        <v>0</v>
      </c>
      <c r="AL65" s="904">
        <f>E65*G65*_xlfn.XLOOKUP(K65,'Utslippsfaktorer Transport'!$A$26:$A$29,'Utslippsfaktorer Transport'!$G$26:$G$29)/1000/D65</f>
        <v>0</v>
      </c>
      <c r="AM65" s="904">
        <f>E65*G65*_xlfn.XLOOKUP(K65,'Utslippsfaktorer Transport'!$A$26:$A$29,'Utslippsfaktorer Transport'!$H$26:$H$29)/1000/D65</f>
        <v>0</v>
      </c>
      <c r="AN65" s="442">
        <f>H65*E65*_xlfn.XLOOKUP(L65,'Utslippsfaktorer Transport'!$A$23:$A$25,'Utslippsfaktorer Transport'!$C$23:$C$25)/1000/D65</f>
        <v>0</v>
      </c>
      <c r="AO65" s="442">
        <f>H65*E65*_xlfn.XLOOKUP(L65,'Utslippsfaktorer Transport'!$A$23:$A$25,'Utslippsfaktorer Transport'!$D$23:$D$25)/1000/D65</f>
        <v>0</v>
      </c>
      <c r="AP65" s="902">
        <f>H65*E65*_xlfn.XLOOKUP(L65,'Utslippsfaktorer Transport'!$A$23:$A$25,'Utslippsfaktorer Transport'!$E$23:$E$25)/1000/D65</f>
        <v>0</v>
      </c>
    </row>
    <row r="66" spans="1:42" outlineLevel="1" x14ac:dyDescent="0.3">
      <c r="A66" s="338">
        <v>0</v>
      </c>
      <c r="B66" s="906">
        <f>VLOOKUP(C66,'Vann og Avløp-utslippsfaktorer'!$A$3:$D$82,4,FALSE)</f>
        <v>2810</v>
      </c>
      <c r="C66" s="373" t="s">
        <v>930</v>
      </c>
      <c r="D66" s="689">
        <v>1</v>
      </c>
      <c r="E66" s="315">
        <v>0</v>
      </c>
      <c r="F66" s="315">
        <v>100</v>
      </c>
      <c r="G66" s="315">
        <v>0</v>
      </c>
      <c r="H66" s="340">
        <v>0</v>
      </c>
      <c r="I66" s="483" t="s">
        <v>865</v>
      </c>
      <c r="J66" s="360" t="s">
        <v>648</v>
      </c>
      <c r="K66" s="360" t="s">
        <v>871</v>
      </c>
      <c r="L66" s="360" t="s">
        <v>868</v>
      </c>
      <c r="M66" s="473">
        <f>_xlfn.XLOOKUP(I66,'Utslippsfaktorer Transport'!$A$10:$A$19,'Utslippsfaktorer Transport'!$B$10:$B$19)*_xlfn.XLOOKUP(J66,'Utslippsfaktorer Transport'!$A$34:$A$52,'Utslippsfaktorer Transport'!$E$34:$E$52)</f>
        <v>64.47</v>
      </c>
      <c r="N66" s="442">
        <f>_xlfn.XLOOKUP(K66,'Utslippsfaktorer Transport'!$A$27:$A$29,'Utslippsfaktorer Transport'!$F$27:$F$29)</f>
        <v>17.5</v>
      </c>
      <c r="O66" s="902">
        <f>_xlfn.XLOOKUP(L66,'Utslippsfaktorer Transport'!$A$23:$A$25,'Utslippsfaktorer Transport'!$C$23:$C$25)</f>
        <v>0</v>
      </c>
      <c r="P66" s="313"/>
      <c r="Q66" s="313"/>
      <c r="R66" s="313"/>
      <c r="S66" s="313"/>
      <c r="T66" s="316"/>
      <c r="AG66" s="373" t="s">
        <v>930</v>
      </c>
      <c r="AH66" s="442">
        <f>E66*F66*_xlfn.XLOOKUP(I66,'Utslippsfaktorer Transport'!$A$9:$A$19,'Utslippsfaktorer Transport'!$B$9:$B$19)*_xlfn.XLOOKUP(J66,'Utslippsfaktorer Transport'!$A$33:$A$52,'Utslippsfaktorer Transport'!$B$33:$B$52)/1000/D66</f>
        <v>0</v>
      </c>
      <c r="AI66" s="442">
        <f>E66*F66*_xlfn.XLOOKUP(I66,'Utslippsfaktorer Transport'!$A$9:$A$19,'Utslippsfaktorer Transport'!$B$9:$B$19)*_xlfn.XLOOKUP(J66,'Utslippsfaktorer Transport'!$A$33:$A$52,'Utslippsfaktorer Transport'!$C$33:$C$52)/1000/D66</f>
        <v>0</v>
      </c>
      <c r="AJ66" s="442">
        <f>E66*F66*_xlfn.XLOOKUP(I66,'Utslippsfaktorer Transport'!$A$9:$A$19,'Utslippsfaktorer Transport'!$B$9:$B$19)*_xlfn.XLOOKUP(J66,'Utslippsfaktorer Transport'!$A$33:$A$52,'Utslippsfaktorer Transport'!$D$33:$D$52)/1000/D66</f>
        <v>0</v>
      </c>
      <c r="AK66" s="904">
        <f>E66*G66*_xlfn.XLOOKUP(K66,'Utslippsfaktorer Transport'!$A$26:$A$29,'Utslippsfaktorer Transport'!$F$26:$F$29)/1000/D66</f>
        <v>0</v>
      </c>
      <c r="AL66" s="904">
        <f>E66*G66*_xlfn.XLOOKUP(K66,'Utslippsfaktorer Transport'!$A$26:$A$29,'Utslippsfaktorer Transport'!$G$26:$G$29)/1000/D66</f>
        <v>0</v>
      </c>
      <c r="AM66" s="904">
        <f>E66*G66*_xlfn.XLOOKUP(K66,'Utslippsfaktorer Transport'!$A$26:$A$29,'Utslippsfaktorer Transport'!$H$26:$H$29)/1000/D66</f>
        <v>0</v>
      </c>
      <c r="AN66" s="442">
        <f>H66*E66*_xlfn.XLOOKUP(L66,'Utslippsfaktorer Transport'!$A$23:$A$25,'Utslippsfaktorer Transport'!$C$23:$C$25)/1000/D66</f>
        <v>0</v>
      </c>
      <c r="AO66" s="442">
        <f>H66*E66*_xlfn.XLOOKUP(L66,'Utslippsfaktorer Transport'!$A$23:$A$25,'Utslippsfaktorer Transport'!$D$23:$D$25)/1000/D66</f>
        <v>0</v>
      </c>
      <c r="AP66" s="902">
        <f>H66*E66*_xlfn.XLOOKUP(L66,'Utslippsfaktorer Transport'!$A$23:$A$25,'Utslippsfaktorer Transport'!$E$23:$E$25)/1000/D66</f>
        <v>0</v>
      </c>
    </row>
    <row r="67" spans="1:42" outlineLevel="1" x14ac:dyDescent="0.3">
      <c r="A67" s="338">
        <v>0</v>
      </c>
      <c r="B67" s="906">
        <f>VLOOKUP(C67,'Vann og Avløp-utslippsfaktorer'!$A$3:$D$82,4,FALSE)</f>
        <v>269</v>
      </c>
      <c r="C67" s="373" t="s">
        <v>22</v>
      </c>
      <c r="D67" s="689">
        <v>1</v>
      </c>
      <c r="E67" s="315">
        <v>0</v>
      </c>
      <c r="F67" s="315">
        <v>100</v>
      </c>
      <c r="G67" s="315">
        <v>0</v>
      </c>
      <c r="H67" s="340">
        <v>0</v>
      </c>
      <c r="I67" s="483" t="s">
        <v>865</v>
      </c>
      <c r="J67" s="360" t="s">
        <v>648</v>
      </c>
      <c r="K67" s="360" t="s">
        <v>871</v>
      </c>
      <c r="L67" s="360" t="s">
        <v>868</v>
      </c>
      <c r="M67" s="473">
        <f>_xlfn.XLOOKUP(I67,'Utslippsfaktorer Transport'!$A$10:$A$19,'Utslippsfaktorer Transport'!$B$10:$B$19)*_xlfn.XLOOKUP(J67,'Utslippsfaktorer Transport'!$A$34:$A$52,'Utslippsfaktorer Transport'!$E$34:$E$52)</f>
        <v>64.47</v>
      </c>
      <c r="N67" s="442">
        <f>_xlfn.XLOOKUP(K67,'Utslippsfaktorer Transport'!$A$27:$A$29,'Utslippsfaktorer Transport'!$F$27:$F$29)</f>
        <v>17.5</v>
      </c>
      <c r="O67" s="902">
        <f>_xlfn.XLOOKUP(L67,'Utslippsfaktorer Transport'!$A$23:$A$25,'Utslippsfaktorer Transport'!$C$23:$C$25)</f>
        <v>0</v>
      </c>
      <c r="P67" s="313"/>
      <c r="Q67" s="313"/>
      <c r="R67" s="313"/>
      <c r="S67" s="313"/>
      <c r="T67" s="316"/>
      <c r="AG67" s="373" t="s">
        <v>22</v>
      </c>
      <c r="AH67" s="442">
        <f>E67*F67*_xlfn.XLOOKUP(I67,'Utslippsfaktorer Transport'!$A$9:$A$19,'Utslippsfaktorer Transport'!$B$9:$B$19)*_xlfn.XLOOKUP(J67,'Utslippsfaktorer Transport'!$A$33:$A$52,'Utslippsfaktorer Transport'!$B$33:$B$52)/1000/D67</f>
        <v>0</v>
      </c>
      <c r="AI67" s="442">
        <f>E67*F67*_xlfn.XLOOKUP(I67,'Utslippsfaktorer Transport'!$A$9:$A$19,'Utslippsfaktorer Transport'!$B$9:$B$19)*_xlfn.XLOOKUP(J67,'Utslippsfaktorer Transport'!$A$33:$A$52,'Utslippsfaktorer Transport'!$C$33:$C$52)/1000/D67</f>
        <v>0</v>
      </c>
      <c r="AJ67" s="442">
        <f>E67*F67*_xlfn.XLOOKUP(I67,'Utslippsfaktorer Transport'!$A$9:$A$19,'Utslippsfaktorer Transport'!$B$9:$B$19)*_xlfn.XLOOKUP(J67,'Utslippsfaktorer Transport'!$A$33:$A$52,'Utslippsfaktorer Transport'!$D$33:$D$52)/1000/D67</f>
        <v>0</v>
      </c>
      <c r="AK67" s="904">
        <f>E67*G67*_xlfn.XLOOKUP(K67,'Utslippsfaktorer Transport'!$A$26:$A$29,'Utslippsfaktorer Transport'!$F$26:$F$29)/1000/D67</f>
        <v>0</v>
      </c>
      <c r="AL67" s="904">
        <f>E67*G67*_xlfn.XLOOKUP(K67,'Utslippsfaktorer Transport'!$A$26:$A$29,'Utslippsfaktorer Transport'!$G$26:$G$29)/1000/D67</f>
        <v>0</v>
      </c>
      <c r="AM67" s="904">
        <f>E67*G67*_xlfn.XLOOKUP(K67,'Utslippsfaktorer Transport'!$A$26:$A$29,'Utslippsfaktorer Transport'!$H$26:$H$29)/1000/D67</f>
        <v>0</v>
      </c>
      <c r="AN67" s="442">
        <f>H67*E67*_xlfn.XLOOKUP(L67,'Utslippsfaktorer Transport'!$A$23:$A$25,'Utslippsfaktorer Transport'!$C$23:$C$25)/1000/D67</f>
        <v>0</v>
      </c>
      <c r="AO67" s="442">
        <f>H67*E67*_xlfn.XLOOKUP(L67,'Utslippsfaktorer Transport'!$A$23:$A$25,'Utslippsfaktorer Transport'!$D$23:$D$25)/1000/D67</f>
        <v>0</v>
      </c>
      <c r="AP67" s="902">
        <f>H67*E67*_xlfn.XLOOKUP(L67,'Utslippsfaktorer Transport'!$A$23:$A$25,'Utslippsfaktorer Transport'!$E$23:$E$25)/1000/D67</f>
        <v>0</v>
      </c>
    </row>
    <row r="68" spans="1:42" outlineLevel="1" x14ac:dyDescent="0.3">
      <c r="A68" s="338">
        <v>0</v>
      </c>
      <c r="B68" s="906">
        <f>VLOOKUP(C68,'Vann og Avløp-utslippsfaktorer'!$A$3:$D$82,4,FALSE)</f>
        <v>170</v>
      </c>
      <c r="C68" s="373" t="s">
        <v>21</v>
      </c>
      <c r="D68" s="689">
        <v>1</v>
      </c>
      <c r="E68" s="315">
        <v>0</v>
      </c>
      <c r="F68" s="315">
        <v>100</v>
      </c>
      <c r="G68" s="315">
        <v>0</v>
      </c>
      <c r="H68" s="340">
        <v>0</v>
      </c>
      <c r="I68" s="483" t="s">
        <v>865</v>
      </c>
      <c r="J68" s="360" t="s">
        <v>648</v>
      </c>
      <c r="K68" s="360" t="s">
        <v>871</v>
      </c>
      <c r="L68" s="360" t="s">
        <v>868</v>
      </c>
      <c r="M68" s="473">
        <f>_xlfn.XLOOKUP(I68,'Utslippsfaktorer Transport'!$A$10:$A$19,'Utslippsfaktorer Transport'!$B$10:$B$19)*_xlfn.XLOOKUP(J68,'Utslippsfaktorer Transport'!$A$34:$A$52,'Utslippsfaktorer Transport'!$E$34:$E$52)</f>
        <v>64.47</v>
      </c>
      <c r="N68" s="442">
        <f>_xlfn.XLOOKUP(K68,'Utslippsfaktorer Transport'!$A$27:$A$29,'Utslippsfaktorer Transport'!$F$27:$F$29)</f>
        <v>17.5</v>
      </c>
      <c r="O68" s="902">
        <f>_xlfn.XLOOKUP(L68,'Utslippsfaktorer Transport'!$A$23:$A$25,'Utslippsfaktorer Transport'!$C$23:$C$25)</f>
        <v>0</v>
      </c>
      <c r="P68" s="313"/>
      <c r="Q68" s="313"/>
      <c r="R68" s="313"/>
      <c r="S68" s="313"/>
      <c r="T68" s="316"/>
      <c r="AG68" s="373" t="s">
        <v>21</v>
      </c>
      <c r="AH68" s="442">
        <f>E68*F68*_xlfn.XLOOKUP(I68,'Utslippsfaktorer Transport'!$A$9:$A$19,'Utslippsfaktorer Transport'!$B$9:$B$19)*_xlfn.XLOOKUP(J68,'Utslippsfaktorer Transport'!$A$33:$A$52,'Utslippsfaktorer Transport'!$B$33:$B$52)/1000/D68</f>
        <v>0</v>
      </c>
      <c r="AI68" s="442">
        <f>E68*F68*_xlfn.XLOOKUP(I68,'Utslippsfaktorer Transport'!$A$9:$A$19,'Utslippsfaktorer Transport'!$B$9:$B$19)*_xlfn.XLOOKUP(J68,'Utslippsfaktorer Transport'!$A$33:$A$52,'Utslippsfaktorer Transport'!$C$33:$C$52)/1000/D68</f>
        <v>0</v>
      </c>
      <c r="AJ68" s="442">
        <f>E68*F68*_xlfn.XLOOKUP(I68,'Utslippsfaktorer Transport'!$A$9:$A$19,'Utslippsfaktorer Transport'!$B$9:$B$19)*_xlfn.XLOOKUP(J68,'Utslippsfaktorer Transport'!$A$33:$A$52,'Utslippsfaktorer Transport'!$D$33:$D$52)/1000/D68</f>
        <v>0</v>
      </c>
      <c r="AK68" s="904">
        <f>E68*G68*_xlfn.XLOOKUP(K68,'Utslippsfaktorer Transport'!$A$26:$A$29,'Utslippsfaktorer Transport'!$F$26:$F$29)/1000/D68</f>
        <v>0</v>
      </c>
      <c r="AL68" s="904">
        <f>E68*G68*_xlfn.XLOOKUP(K68,'Utslippsfaktorer Transport'!$A$26:$A$29,'Utslippsfaktorer Transport'!$G$26:$G$29)/1000/D68</f>
        <v>0</v>
      </c>
      <c r="AM68" s="904">
        <f>E68*G68*_xlfn.XLOOKUP(K68,'Utslippsfaktorer Transport'!$A$26:$A$29,'Utslippsfaktorer Transport'!$H$26:$H$29)/1000/D68</f>
        <v>0</v>
      </c>
      <c r="AN68" s="442">
        <f>H68*E68*_xlfn.XLOOKUP(L68,'Utslippsfaktorer Transport'!$A$23:$A$25,'Utslippsfaktorer Transport'!$C$23:$C$25)/1000/D68</f>
        <v>0</v>
      </c>
      <c r="AO68" s="442">
        <f>H68*E68*_xlfn.XLOOKUP(L68,'Utslippsfaktorer Transport'!$A$23:$A$25,'Utslippsfaktorer Transport'!$D$23:$D$25)/1000/D68</f>
        <v>0</v>
      </c>
      <c r="AP68" s="902">
        <f>H68*E68*_xlfn.XLOOKUP(L68,'Utslippsfaktorer Transport'!$A$23:$A$25,'Utslippsfaktorer Transport'!$E$23:$E$25)/1000/D68</f>
        <v>0</v>
      </c>
    </row>
    <row r="69" spans="1:42" x14ac:dyDescent="0.3">
      <c r="A69" s="338">
        <v>0</v>
      </c>
      <c r="B69" s="906">
        <f>VLOOKUP(C69,'Vann og Avløp-utslippsfaktorer'!$A$3:$D$82,4,FALSE)</f>
        <v>1000</v>
      </c>
      <c r="C69" s="373" t="s">
        <v>386</v>
      </c>
      <c r="D69" s="689">
        <v>1</v>
      </c>
      <c r="E69" s="315">
        <v>0</v>
      </c>
      <c r="F69" s="315">
        <v>100</v>
      </c>
      <c r="G69" s="315">
        <v>0</v>
      </c>
      <c r="H69" s="340">
        <v>0</v>
      </c>
      <c r="I69" s="483" t="s">
        <v>865</v>
      </c>
      <c r="J69" s="360" t="s">
        <v>648</v>
      </c>
      <c r="K69" s="360" t="s">
        <v>871</v>
      </c>
      <c r="L69" s="360" t="s">
        <v>868</v>
      </c>
      <c r="M69" s="473">
        <f>_xlfn.XLOOKUP(I69,'Utslippsfaktorer Transport'!$A$10:$A$19,'Utslippsfaktorer Transport'!$B$10:$B$19)*_xlfn.XLOOKUP(J69,'Utslippsfaktorer Transport'!$A$34:$A$52,'Utslippsfaktorer Transport'!$E$34:$E$52)</f>
        <v>64.47</v>
      </c>
      <c r="N69" s="442">
        <f>_xlfn.XLOOKUP(K69,'Utslippsfaktorer Transport'!$A$27:$A$29,'Utslippsfaktorer Transport'!$F$27:$F$29)</f>
        <v>17.5</v>
      </c>
      <c r="O69" s="902">
        <f>_xlfn.XLOOKUP(L69,'Utslippsfaktorer Transport'!$A$23:$A$25,'Utslippsfaktorer Transport'!$C$23:$C$25)</f>
        <v>0</v>
      </c>
      <c r="P69" s="313"/>
      <c r="Q69" s="313"/>
      <c r="R69" s="313"/>
      <c r="S69" s="313"/>
      <c r="T69" s="316"/>
      <c r="AG69" s="373" t="s">
        <v>386</v>
      </c>
      <c r="AH69" s="442">
        <f>E69*F69*_xlfn.XLOOKUP(I69,'Utslippsfaktorer Transport'!$A$9:$A$19,'Utslippsfaktorer Transport'!$B$9:$B$19)*_xlfn.XLOOKUP(J69,'Utslippsfaktorer Transport'!$A$33:$A$52,'Utslippsfaktorer Transport'!$B$33:$B$52)/1000/D69</f>
        <v>0</v>
      </c>
      <c r="AI69" s="442">
        <f>E69*F69*_xlfn.XLOOKUP(I69,'Utslippsfaktorer Transport'!$A$9:$A$19,'Utslippsfaktorer Transport'!$B$9:$B$19)*_xlfn.XLOOKUP(J69,'Utslippsfaktorer Transport'!$A$33:$A$52,'Utslippsfaktorer Transport'!$C$33:$C$52)/1000/D69</f>
        <v>0</v>
      </c>
      <c r="AJ69" s="442">
        <f>E69*F69*_xlfn.XLOOKUP(I69,'Utslippsfaktorer Transport'!$A$9:$A$19,'Utslippsfaktorer Transport'!$B$9:$B$19)*_xlfn.XLOOKUP(J69,'Utslippsfaktorer Transport'!$A$33:$A$52,'Utslippsfaktorer Transport'!$D$33:$D$52)/1000/D69</f>
        <v>0</v>
      </c>
      <c r="AK69" s="904">
        <f>E69*G69*_xlfn.XLOOKUP(K69,'Utslippsfaktorer Transport'!$A$26:$A$29,'Utslippsfaktorer Transport'!$F$26:$F$29)/1000/D69</f>
        <v>0</v>
      </c>
      <c r="AL69" s="904">
        <f>E69*G69*_xlfn.XLOOKUP(K69,'Utslippsfaktorer Transport'!$A$26:$A$29,'Utslippsfaktorer Transport'!$G$26:$G$29)/1000/D69</f>
        <v>0</v>
      </c>
      <c r="AM69" s="904">
        <f>E69*G69*_xlfn.XLOOKUP(K69,'Utslippsfaktorer Transport'!$A$26:$A$29,'Utslippsfaktorer Transport'!$H$26:$H$29)/1000/D69</f>
        <v>0</v>
      </c>
      <c r="AN69" s="442">
        <f>H69*E69*_xlfn.XLOOKUP(L69,'Utslippsfaktorer Transport'!$A$23:$A$25,'Utslippsfaktorer Transport'!$C$23:$C$25)/1000/D69</f>
        <v>0</v>
      </c>
      <c r="AO69" s="442">
        <f>H69*E69*_xlfn.XLOOKUP(L69,'Utslippsfaktorer Transport'!$A$23:$A$25,'Utslippsfaktorer Transport'!$D$23:$D$25)/1000/D69</f>
        <v>0</v>
      </c>
      <c r="AP69" s="902">
        <f>H69*E69*_xlfn.XLOOKUP(L69,'Utslippsfaktorer Transport'!$A$23:$A$25,'Utslippsfaktorer Transport'!$E$23:$E$25)/1000/D69</f>
        <v>0</v>
      </c>
    </row>
    <row r="70" spans="1:42" outlineLevel="1" x14ac:dyDescent="0.3">
      <c r="A70" s="338">
        <v>0</v>
      </c>
      <c r="B70" s="906">
        <f>VLOOKUP(C70,'Vann og Avløp-utslippsfaktorer'!$A$3:$D$82,4,FALSE)</f>
        <v>1200</v>
      </c>
      <c r="C70" s="373" t="s">
        <v>313</v>
      </c>
      <c r="D70" s="689">
        <v>1</v>
      </c>
      <c r="E70" s="315">
        <v>0</v>
      </c>
      <c r="F70" s="315">
        <v>100</v>
      </c>
      <c r="G70" s="315">
        <v>0</v>
      </c>
      <c r="H70" s="340">
        <v>0</v>
      </c>
      <c r="I70" s="483" t="s">
        <v>865</v>
      </c>
      <c r="J70" s="360" t="s">
        <v>648</v>
      </c>
      <c r="K70" s="360" t="s">
        <v>871</v>
      </c>
      <c r="L70" s="360" t="s">
        <v>868</v>
      </c>
      <c r="M70" s="473">
        <f>_xlfn.XLOOKUP(I70,'Utslippsfaktorer Transport'!$A$10:$A$19,'Utslippsfaktorer Transport'!$B$10:$B$19)*_xlfn.XLOOKUP(J70,'Utslippsfaktorer Transport'!$A$34:$A$52,'Utslippsfaktorer Transport'!$E$34:$E$52)</f>
        <v>64.47</v>
      </c>
      <c r="N70" s="442">
        <f>_xlfn.XLOOKUP(K70,'Utslippsfaktorer Transport'!$A$27:$A$29,'Utslippsfaktorer Transport'!$F$27:$F$29)</f>
        <v>17.5</v>
      </c>
      <c r="O70" s="902">
        <f>_xlfn.XLOOKUP(L70,'Utslippsfaktorer Transport'!$A$23:$A$25,'Utslippsfaktorer Transport'!$C$23:$C$25)</f>
        <v>0</v>
      </c>
      <c r="P70" s="313"/>
      <c r="Q70" s="313"/>
      <c r="R70" s="313"/>
      <c r="S70" s="313"/>
      <c r="T70" s="316"/>
      <c r="AG70" s="373" t="s">
        <v>313</v>
      </c>
      <c r="AH70" s="442">
        <f>E70*F70*_xlfn.XLOOKUP(I70,'Utslippsfaktorer Transport'!$A$9:$A$19,'Utslippsfaktorer Transport'!$B$9:$B$19)*_xlfn.XLOOKUP(J70,'Utslippsfaktorer Transport'!$A$33:$A$52,'Utslippsfaktorer Transport'!$B$33:$B$52)/1000/D70</f>
        <v>0</v>
      </c>
      <c r="AI70" s="442">
        <f>E70*F70*_xlfn.XLOOKUP(I70,'Utslippsfaktorer Transport'!$A$9:$A$19,'Utslippsfaktorer Transport'!$B$9:$B$19)*_xlfn.XLOOKUP(J70,'Utslippsfaktorer Transport'!$A$33:$A$52,'Utslippsfaktorer Transport'!$C$33:$C$52)/1000/D70</f>
        <v>0</v>
      </c>
      <c r="AJ70" s="442">
        <f>E70*F70*_xlfn.XLOOKUP(I70,'Utslippsfaktorer Transport'!$A$9:$A$19,'Utslippsfaktorer Transport'!$B$9:$B$19)*_xlfn.XLOOKUP(J70,'Utslippsfaktorer Transport'!$A$33:$A$52,'Utslippsfaktorer Transport'!$D$33:$D$52)/1000/D70</f>
        <v>0</v>
      </c>
      <c r="AK70" s="904">
        <f>E70*G70*_xlfn.XLOOKUP(K70,'Utslippsfaktorer Transport'!$A$26:$A$29,'Utslippsfaktorer Transport'!$F$26:$F$29)/1000/D70</f>
        <v>0</v>
      </c>
      <c r="AL70" s="904">
        <f>E70*G70*_xlfn.XLOOKUP(K70,'Utslippsfaktorer Transport'!$A$26:$A$29,'Utslippsfaktorer Transport'!$G$26:$G$29)/1000/D70</f>
        <v>0</v>
      </c>
      <c r="AM70" s="904">
        <f>E70*G70*_xlfn.XLOOKUP(K70,'Utslippsfaktorer Transport'!$A$26:$A$29,'Utslippsfaktorer Transport'!$H$26:$H$29)/1000/D70</f>
        <v>0</v>
      </c>
      <c r="AN70" s="442">
        <f>H70*E70*_xlfn.XLOOKUP(L70,'Utslippsfaktorer Transport'!$A$23:$A$25,'Utslippsfaktorer Transport'!$C$23:$C$25)/1000/D70</f>
        <v>0</v>
      </c>
      <c r="AO70" s="442">
        <f>H70*E70*_xlfn.XLOOKUP(L70,'Utslippsfaktorer Transport'!$A$23:$A$25,'Utslippsfaktorer Transport'!$D$23:$D$25)/1000/D70</f>
        <v>0</v>
      </c>
      <c r="AP70" s="902">
        <f>H70*E70*_xlfn.XLOOKUP(L70,'Utslippsfaktorer Transport'!$A$23:$A$25,'Utslippsfaktorer Transport'!$E$23:$E$25)/1000/D70</f>
        <v>0</v>
      </c>
    </row>
    <row r="71" spans="1:42" outlineLevel="1" x14ac:dyDescent="0.3">
      <c r="A71" s="338">
        <v>0</v>
      </c>
      <c r="B71" s="906">
        <f>VLOOKUP(C71,'Vann og Avløp-utslippsfaktorer'!$A$3:$D$82,4,FALSE)</f>
        <v>119</v>
      </c>
      <c r="C71" s="373" t="s">
        <v>299</v>
      </c>
      <c r="D71" s="689">
        <v>1</v>
      </c>
      <c r="E71" s="315">
        <v>0</v>
      </c>
      <c r="F71" s="315">
        <v>100</v>
      </c>
      <c r="G71" s="315">
        <v>0</v>
      </c>
      <c r="H71" s="340">
        <v>0</v>
      </c>
      <c r="I71" s="483" t="s">
        <v>865</v>
      </c>
      <c r="J71" s="360" t="s">
        <v>648</v>
      </c>
      <c r="K71" s="360" t="s">
        <v>871</v>
      </c>
      <c r="L71" s="360" t="s">
        <v>868</v>
      </c>
      <c r="M71" s="473">
        <f>_xlfn.XLOOKUP(I71,'Utslippsfaktorer Transport'!$A$10:$A$19,'Utslippsfaktorer Transport'!$B$10:$B$19)*_xlfn.XLOOKUP(J71,'Utslippsfaktorer Transport'!$A$34:$A$52,'Utslippsfaktorer Transport'!$E$34:$E$52)</f>
        <v>64.47</v>
      </c>
      <c r="N71" s="442">
        <f>_xlfn.XLOOKUP(K71,'Utslippsfaktorer Transport'!$A$27:$A$29,'Utslippsfaktorer Transport'!$F$27:$F$29)</f>
        <v>17.5</v>
      </c>
      <c r="O71" s="902">
        <f>_xlfn.XLOOKUP(L71,'Utslippsfaktorer Transport'!$A$23:$A$25,'Utslippsfaktorer Transport'!$C$23:$C$25)</f>
        <v>0</v>
      </c>
      <c r="P71" s="313"/>
      <c r="Q71" s="313"/>
      <c r="R71" s="313"/>
      <c r="S71" s="313"/>
      <c r="T71" s="316"/>
      <c r="AG71" s="373" t="s">
        <v>299</v>
      </c>
      <c r="AH71" s="442">
        <f>E71*F71*_xlfn.XLOOKUP(I71,'Utslippsfaktorer Transport'!$A$9:$A$19,'Utslippsfaktorer Transport'!$B$9:$B$19)*_xlfn.XLOOKUP(J71,'Utslippsfaktorer Transport'!$A$33:$A$52,'Utslippsfaktorer Transport'!$B$33:$B$52)/1000/D71</f>
        <v>0</v>
      </c>
      <c r="AI71" s="442">
        <f>E71*F71*_xlfn.XLOOKUP(I71,'Utslippsfaktorer Transport'!$A$9:$A$19,'Utslippsfaktorer Transport'!$B$9:$B$19)*_xlfn.XLOOKUP(J71,'Utslippsfaktorer Transport'!$A$33:$A$52,'Utslippsfaktorer Transport'!$C$33:$C$52)/1000/D71</f>
        <v>0</v>
      </c>
      <c r="AJ71" s="442">
        <f>E71*F71*_xlfn.XLOOKUP(I71,'Utslippsfaktorer Transport'!$A$9:$A$19,'Utslippsfaktorer Transport'!$B$9:$B$19)*_xlfn.XLOOKUP(J71,'Utslippsfaktorer Transport'!$A$33:$A$52,'Utslippsfaktorer Transport'!$D$33:$D$52)/1000/D71</f>
        <v>0</v>
      </c>
      <c r="AK71" s="904">
        <f>E71*G71*_xlfn.XLOOKUP(K71,'Utslippsfaktorer Transport'!$A$26:$A$29,'Utslippsfaktorer Transport'!$F$26:$F$29)/1000/D71</f>
        <v>0</v>
      </c>
      <c r="AL71" s="904">
        <f>E71*G71*_xlfn.XLOOKUP(K71,'Utslippsfaktorer Transport'!$A$26:$A$29,'Utslippsfaktorer Transport'!$G$26:$G$29)/1000/D71</f>
        <v>0</v>
      </c>
      <c r="AM71" s="904">
        <f>E71*G71*_xlfn.XLOOKUP(K71,'Utslippsfaktorer Transport'!$A$26:$A$29,'Utslippsfaktorer Transport'!$H$26:$H$29)/1000/D71</f>
        <v>0</v>
      </c>
      <c r="AN71" s="442">
        <f>H71*E71*_xlfn.XLOOKUP(L71,'Utslippsfaktorer Transport'!$A$23:$A$25,'Utslippsfaktorer Transport'!$C$23:$C$25)/1000/D71</f>
        <v>0</v>
      </c>
      <c r="AO71" s="442">
        <f>H71*E71*_xlfn.XLOOKUP(L71,'Utslippsfaktorer Transport'!$A$23:$A$25,'Utslippsfaktorer Transport'!$D$23:$D$25)/1000/D71</f>
        <v>0</v>
      </c>
      <c r="AP71" s="902">
        <f>H71*E71*_xlfn.XLOOKUP(L71,'Utslippsfaktorer Transport'!$A$23:$A$25,'Utslippsfaktorer Transport'!$E$23:$E$25)/1000/D71</f>
        <v>0</v>
      </c>
    </row>
    <row r="72" spans="1:42" outlineLevel="1" x14ac:dyDescent="0.3">
      <c r="A72" s="338">
        <v>0</v>
      </c>
      <c r="B72" s="906">
        <f>VLOOKUP(C72,'Vann og Avløp-utslippsfaktorer'!$A$3:$D$82,4,FALSE)</f>
        <v>1310</v>
      </c>
      <c r="C72" s="373" t="s">
        <v>500</v>
      </c>
      <c r="D72" s="689">
        <v>1</v>
      </c>
      <c r="E72" s="315">
        <v>0</v>
      </c>
      <c r="F72" s="315">
        <v>100</v>
      </c>
      <c r="G72" s="315">
        <v>0</v>
      </c>
      <c r="H72" s="340">
        <v>0</v>
      </c>
      <c r="I72" s="483" t="s">
        <v>865</v>
      </c>
      <c r="J72" s="360" t="s">
        <v>648</v>
      </c>
      <c r="K72" s="360" t="s">
        <v>871</v>
      </c>
      <c r="L72" s="360" t="s">
        <v>868</v>
      </c>
      <c r="M72" s="473">
        <f>_xlfn.XLOOKUP(I72,'Utslippsfaktorer Transport'!$A$10:$A$19,'Utslippsfaktorer Transport'!$B$10:$B$19)*_xlfn.XLOOKUP(J72,'Utslippsfaktorer Transport'!$A$34:$A$52,'Utslippsfaktorer Transport'!$E$34:$E$52)</f>
        <v>64.47</v>
      </c>
      <c r="N72" s="442">
        <f>_xlfn.XLOOKUP(K72,'Utslippsfaktorer Transport'!$A$27:$A$29,'Utslippsfaktorer Transport'!$F$27:$F$29)</f>
        <v>17.5</v>
      </c>
      <c r="O72" s="902">
        <f>_xlfn.XLOOKUP(L72,'Utslippsfaktorer Transport'!$A$23:$A$25,'Utslippsfaktorer Transport'!$C$23:$C$25)</f>
        <v>0</v>
      </c>
      <c r="P72" s="313"/>
      <c r="Q72" s="313"/>
      <c r="R72" s="313"/>
      <c r="S72" s="313"/>
      <c r="T72" s="316"/>
      <c r="AG72" s="373" t="s">
        <v>500</v>
      </c>
      <c r="AH72" s="442">
        <f>E72*F72*_xlfn.XLOOKUP(I72,'Utslippsfaktorer Transport'!$A$9:$A$19,'Utslippsfaktorer Transport'!$B$9:$B$19)*_xlfn.XLOOKUP(J72,'Utslippsfaktorer Transport'!$A$33:$A$52,'Utslippsfaktorer Transport'!$B$33:$B$52)/1000/D72</f>
        <v>0</v>
      </c>
      <c r="AI72" s="442">
        <f>E72*F72*_xlfn.XLOOKUP(I72,'Utslippsfaktorer Transport'!$A$9:$A$19,'Utslippsfaktorer Transport'!$B$9:$B$19)*_xlfn.XLOOKUP(J72,'Utslippsfaktorer Transport'!$A$33:$A$52,'Utslippsfaktorer Transport'!$C$33:$C$52)/1000/D72</f>
        <v>0</v>
      </c>
      <c r="AJ72" s="442">
        <f>E72*F72*_xlfn.XLOOKUP(I72,'Utslippsfaktorer Transport'!$A$9:$A$19,'Utslippsfaktorer Transport'!$B$9:$B$19)*_xlfn.XLOOKUP(J72,'Utslippsfaktorer Transport'!$A$33:$A$52,'Utslippsfaktorer Transport'!$D$33:$D$52)/1000/D72</f>
        <v>0</v>
      </c>
      <c r="AK72" s="904">
        <f>E72*G72*_xlfn.XLOOKUP(K72,'Utslippsfaktorer Transport'!$A$26:$A$29,'Utslippsfaktorer Transport'!$F$26:$F$29)/1000/D72</f>
        <v>0</v>
      </c>
      <c r="AL72" s="904">
        <f>E72*G72*_xlfn.XLOOKUP(K72,'Utslippsfaktorer Transport'!$A$26:$A$29,'Utslippsfaktorer Transport'!$G$26:$G$29)/1000/D72</f>
        <v>0</v>
      </c>
      <c r="AM72" s="904">
        <f>E72*G72*_xlfn.XLOOKUP(K72,'Utslippsfaktorer Transport'!$A$26:$A$29,'Utslippsfaktorer Transport'!$H$26:$H$29)/1000/D72</f>
        <v>0</v>
      </c>
      <c r="AN72" s="442">
        <f>H72*E72*_xlfn.XLOOKUP(L72,'Utslippsfaktorer Transport'!$A$23:$A$25,'Utslippsfaktorer Transport'!$C$23:$C$25)/1000/D72</f>
        <v>0</v>
      </c>
      <c r="AO72" s="442">
        <f>H72*E72*_xlfn.XLOOKUP(L72,'Utslippsfaktorer Transport'!$A$23:$A$25,'Utslippsfaktorer Transport'!$D$23:$D$25)/1000/D72</f>
        <v>0</v>
      </c>
      <c r="AP72" s="902">
        <f>H72*E72*_xlfn.XLOOKUP(L72,'Utslippsfaktorer Transport'!$A$23:$A$25,'Utslippsfaktorer Transport'!$E$23:$E$25)/1000/D72</f>
        <v>0</v>
      </c>
    </row>
    <row r="73" spans="1:42" outlineLevel="1" x14ac:dyDescent="0.3">
      <c r="A73" s="338">
        <v>0</v>
      </c>
      <c r="B73" s="906">
        <f>VLOOKUP(C73,'Vann og Avløp-utslippsfaktorer'!$A$3:$D$82,4,FALSE)</f>
        <v>780</v>
      </c>
      <c r="C73" s="373" t="s">
        <v>566</v>
      </c>
      <c r="D73" s="689">
        <v>1</v>
      </c>
      <c r="E73" s="315">
        <v>0</v>
      </c>
      <c r="F73" s="315">
        <v>100</v>
      </c>
      <c r="G73" s="315">
        <v>0</v>
      </c>
      <c r="H73" s="340">
        <v>0</v>
      </c>
      <c r="I73" s="483" t="s">
        <v>865</v>
      </c>
      <c r="J73" s="360" t="s">
        <v>648</v>
      </c>
      <c r="K73" s="360" t="s">
        <v>871</v>
      </c>
      <c r="L73" s="360" t="s">
        <v>868</v>
      </c>
      <c r="M73" s="473">
        <f>_xlfn.XLOOKUP(I73,'Utslippsfaktorer Transport'!$A$10:$A$19,'Utslippsfaktorer Transport'!$B$10:$B$19)*_xlfn.XLOOKUP(J73,'Utslippsfaktorer Transport'!$A$34:$A$52,'Utslippsfaktorer Transport'!$E$34:$E$52)</f>
        <v>64.47</v>
      </c>
      <c r="N73" s="442">
        <f>_xlfn.XLOOKUP(K73,'Utslippsfaktorer Transport'!$A$27:$A$29,'Utslippsfaktorer Transport'!$F$27:$F$29)</f>
        <v>17.5</v>
      </c>
      <c r="O73" s="902">
        <f>_xlfn.XLOOKUP(L73,'Utslippsfaktorer Transport'!$A$23:$A$25,'Utslippsfaktorer Transport'!$C$23:$C$25)</f>
        <v>0</v>
      </c>
      <c r="P73" s="313"/>
      <c r="Q73" s="313"/>
      <c r="R73" s="313"/>
      <c r="S73" s="313"/>
      <c r="T73" s="316"/>
      <c r="AG73" s="373" t="s">
        <v>566</v>
      </c>
      <c r="AH73" s="442">
        <f>E73*F73*_xlfn.XLOOKUP(I73,'Utslippsfaktorer Transport'!$A$9:$A$19,'Utslippsfaktorer Transport'!$B$9:$B$19)*_xlfn.XLOOKUP(J73,'Utslippsfaktorer Transport'!$A$33:$A$52,'Utslippsfaktorer Transport'!$B$33:$B$52)/1000/D73</f>
        <v>0</v>
      </c>
      <c r="AI73" s="442">
        <f>E73*F73*_xlfn.XLOOKUP(I73,'Utslippsfaktorer Transport'!$A$9:$A$19,'Utslippsfaktorer Transport'!$B$9:$B$19)*_xlfn.XLOOKUP(J73,'Utslippsfaktorer Transport'!$A$33:$A$52,'Utslippsfaktorer Transport'!$C$33:$C$52)/1000/D73</f>
        <v>0</v>
      </c>
      <c r="AJ73" s="442">
        <f>E73*F73*_xlfn.XLOOKUP(I73,'Utslippsfaktorer Transport'!$A$9:$A$19,'Utslippsfaktorer Transport'!$B$9:$B$19)*_xlfn.XLOOKUP(J73,'Utslippsfaktorer Transport'!$A$33:$A$52,'Utslippsfaktorer Transport'!$D$33:$D$52)/1000/D73</f>
        <v>0</v>
      </c>
      <c r="AK73" s="904">
        <f>E73*G73*_xlfn.XLOOKUP(K73,'Utslippsfaktorer Transport'!$A$26:$A$29,'Utslippsfaktorer Transport'!$F$26:$F$29)/1000/D73</f>
        <v>0</v>
      </c>
      <c r="AL73" s="904">
        <f>E73*G73*_xlfn.XLOOKUP(K73,'Utslippsfaktorer Transport'!$A$26:$A$29,'Utslippsfaktorer Transport'!$G$26:$G$29)/1000/D73</f>
        <v>0</v>
      </c>
      <c r="AM73" s="904">
        <f>E73*G73*_xlfn.XLOOKUP(K73,'Utslippsfaktorer Transport'!$A$26:$A$29,'Utslippsfaktorer Transport'!$H$26:$H$29)/1000/D73</f>
        <v>0</v>
      </c>
      <c r="AN73" s="442">
        <f>H73*E73*_xlfn.XLOOKUP(L73,'Utslippsfaktorer Transport'!$A$23:$A$25,'Utslippsfaktorer Transport'!$C$23:$C$25)/1000/D73</f>
        <v>0</v>
      </c>
      <c r="AO73" s="442">
        <f>H73*E73*_xlfn.XLOOKUP(L73,'Utslippsfaktorer Transport'!$A$23:$A$25,'Utslippsfaktorer Transport'!$D$23:$D$25)/1000/D73</f>
        <v>0</v>
      </c>
      <c r="AP73" s="902">
        <f>H73*E73*_xlfn.XLOOKUP(L73,'Utslippsfaktorer Transport'!$A$23:$A$25,'Utslippsfaktorer Transport'!$E$23:$E$25)/1000/D73</f>
        <v>0</v>
      </c>
    </row>
    <row r="74" spans="1:42" outlineLevel="1" x14ac:dyDescent="0.3">
      <c r="A74" s="338">
        <v>0</v>
      </c>
      <c r="B74" s="906">
        <f>VLOOKUP(C74,'Vann og Avløp-utslippsfaktorer'!$A$3:$D$82,4,FALSE)</f>
        <v>4160</v>
      </c>
      <c r="C74" s="373" t="s">
        <v>286</v>
      </c>
      <c r="D74" s="689">
        <v>1</v>
      </c>
      <c r="E74" s="315">
        <v>0</v>
      </c>
      <c r="F74" s="315">
        <v>100</v>
      </c>
      <c r="G74" s="315">
        <v>0</v>
      </c>
      <c r="H74" s="340">
        <v>0</v>
      </c>
      <c r="I74" s="483" t="s">
        <v>865</v>
      </c>
      <c r="J74" s="360" t="s">
        <v>648</v>
      </c>
      <c r="K74" s="360" t="s">
        <v>871</v>
      </c>
      <c r="L74" s="360" t="s">
        <v>868</v>
      </c>
      <c r="M74" s="473">
        <f>_xlfn.XLOOKUP(I74,'Utslippsfaktorer Transport'!$A$10:$A$19,'Utslippsfaktorer Transport'!$B$10:$B$19)*_xlfn.XLOOKUP(J74,'Utslippsfaktorer Transport'!$A$34:$A$52,'Utslippsfaktorer Transport'!$E$34:$E$52)</f>
        <v>64.47</v>
      </c>
      <c r="N74" s="442">
        <f>_xlfn.XLOOKUP(K74,'Utslippsfaktorer Transport'!$A$27:$A$29,'Utslippsfaktorer Transport'!$F$27:$F$29)</f>
        <v>17.5</v>
      </c>
      <c r="O74" s="902">
        <f>_xlfn.XLOOKUP(L74,'Utslippsfaktorer Transport'!$A$23:$A$25,'Utslippsfaktorer Transport'!$C$23:$C$25)</f>
        <v>0</v>
      </c>
      <c r="P74" s="313"/>
      <c r="Q74" s="313"/>
      <c r="R74" s="313"/>
      <c r="S74" s="313"/>
      <c r="T74" s="316"/>
      <c r="AG74" s="373" t="s">
        <v>286</v>
      </c>
      <c r="AH74" s="442">
        <f>E74*F74*_xlfn.XLOOKUP(I74,'Utslippsfaktorer Transport'!$A$9:$A$19,'Utslippsfaktorer Transport'!$B$9:$B$19)*_xlfn.XLOOKUP(J74,'Utslippsfaktorer Transport'!$A$33:$A$52,'Utslippsfaktorer Transport'!$B$33:$B$52)/1000/D74</f>
        <v>0</v>
      </c>
      <c r="AI74" s="442">
        <f>E74*F74*_xlfn.XLOOKUP(I74,'Utslippsfaktorer Transport'!$A$9:$A$19,'Utslippsfaktorer Transport'!$B$9:$B$19)*_xlfn.XLOOKUP(J74,'Utslippsfaktorer Transport'!$A$33:$A$52,'Utslippsfaktorer Transport'!$C$33:$C$52)/1000/D74</f>
        <v>0</v>
      </c>
      <c r="AJ74" s="442">
        <f>E74*F74*_xlfn.XLOOKUP(I74,'Utslippsfaktorer Transport'!$A$9:$A$19,'Utslippsfaktorer Transport'!$B$9:$B$19)*_xlfn.XLOOKUP(J74,'Utslippsfaktorer Transport'!$A$33:$A$52,'Utslippsfaktorer Transport'!$D$33:$D$52)/1000/D74</f>
        <v>0</v>
      </c>
      <c r="AK74" s="904">
        <f>E74*G74*_xlfn.XLOOKUP(K74,'Utslippsfaktorer Transport'!$A$26:$A$29,'Utslippsfaktorer Transport'!$F$26:$F$29)/1000/D74</f>
        <v>0</v>
      </c>
      <c r="AL74" s="904">
        <f>E74*G74*_xlfn.XLOOKUP(K74,'Utslippsfaktorer Transport'!$A$26:$A$29,'Utslippsfaktorer Transport'!$G$26:$G$29)/1000/D74</f>
        <v>0</v>
      </c>
      <c r="AM74" s="904">
        <f>E74*G74*_xlfn.XLOOKUP(K74,'Utslippsfaktorer Transport'!$A$26:$A$29,'Utslippsfaktorer Transport'!$H$26:$H$29)/1000/D74</f>
        <v>0</v>
      </c>
      <c r="AN74" s="442">
        <f>H74*E74*_xlfn.XLOOKUP(L74,'Utslippsfaktorer Transport'!$A$23:$A$25,'Utslippsfaktorer Transport'!$C$23:$C$25)/1000/D74</f>
        <v>0</v>
      </c>
      <c r="AO74" s="442">
        <f>H74*E74*_xlfn.XLOOKUP(L74,'Utslippsfaktorer Transport'!$A$23:$A$25,'Utslippsfaktorer Transport'!$D$23:$D$25)/1000/D74</f>
        <v>0</v>
      </c>
      <c r="AP74" s="902">
        <f>H74*E74*_xlfn.XLOOKUP(L74,'Utslippsfaktorer Transport'!$A$23:$A$25,'Utslippsfaktorer Transport'!$E$23:$E$25)/1000/D74</f>
        <v>0</v>
      </c>
    </row>
    <row r="75" spans="1:42" outlineLevel="1" x14ac:dyDescent="0.3">
      <c r="A75" s="338">
        <v>0</v>
      </c>
      <c r="B75" s="906">
        <f>VLOOKUP(C75,'Vann og Avløp-utslippsfaktorer'!$A$3:$D$82,4,FALSE)</f>
        <v>506.38297872340428</v>
      </c>
      <c r="C75" s="373" t="s">
        <v>975</v>
      </c>
      <c r="D75" s="689">
        <v>1</v>
      </c>
      <c r="E75" s="315">
        <v>0</v>
      </c>
      <c r="F75" s="315">
        <v>100</v>
      </c>
      <c r="G75" s="315">
        <v>0</v>
      </c>
      <c r="H75" s="340">
        <v>0</v>
      </c>
      <c r="I75" s="483" t="s">
        <v>865</v>
      </c>
      <c r="J75" s="360" t="s">
        <v>648</v>
      </c>
      <c r="K75" s="360" t="s">
        <v>871</v>
      </c>
      <c r="L75" s="360" t="s">
        <v>868</v>
      </c>
      <c r="M75" s="473">
        <f>_xlfn.XLOOKUP(I75,'Utslippsfaktorer Transport'!$A$10:$A$19,'Utslippsfaktorer Transport'!$B$10:$B$19)*_xlfn.XLOOKUP(J75,'Utslippsfaktorer Transport'!$A$34:$A$52,'Utslippsfaktorer Transport'!$E$34:$E$52)</f>
        <v>64.47</v>
      </c>
      <c r="N75" s="442">
        <f>_xlfn.XLOOKUP(K75,'Utslippsfaktorer Transport'!$A$27:$A$29,'Utslippsfaktorer Transport'!$F$27:$F$29)</f>
        <v>17.5</v>
      </c>
      <c r="O75" s="902">
        <f>_xlfn.XLOOKUP(L75,'Utslippsfaktorer Transport'!$A$23:$A$25,'Utslippsfaktorer Transport'!$C$23:$C$25)</f>
        <v>0</v>
      </c>
      <c r="P75" s="313"/>
      <c r="Q75" s="313"/>
      <c r="R75" s="313"/>
      <c r="S75" s="313"/>
      <c r="T75" s="316"/>
      <c r="AG75" s="373" t="s">
        <v>975</v>
      </c>
      <c r="AH75" s="442">
        <f>E75*F75*_xlfn.XLOOKUP(I75,'Utslippsfaktorer Transport'!$A$9:$A$19,'Utslippsfaktorer Transport'!$B$9:$B$19)*_xlfn.XLOOKUP(J75,'Utslippsfaktorer Transport'!$A$33:$A$52,'Utslippsfaktorer Transport'!$B$33:$B$52)/1000/D75</f>
        <v>0</v>
      </c>
      <c r="AI75" s="442">
        <f>E75*F75*_xlfn.XLOOKUP(I75,'Utslippsfaktorer Transport'!$A$9:$A$19,'Utslippsfaktorer Transport'!$B$9:$B$19)*_xlfn.XLOOKUP(J75,'Utslippsfaktorer Transport'!$A$33:$A$52,'Utslippsfaktorer Transport'!$C$33:$C$52)/1000/D75</f>
        <v>0</v>
      </c>
      <c r="AJ75" s="442">
        <f>E75*F75*_xlfn.XLOOKUP(I75,'Utslippsfaktorer Transport'!$A$9:$A$19,'Utslippsfaktorer Transport'!$B$9:$B$19)*_xlfn.XLOOKUP(J75,'Utslippsfaktorer Transport'!$A$33:$A$52,'Utslippsfaktorer Transport'!$D$33:$D$52)/1000/D75</f>
        <v>0</v>
      </c>
      <c r="AK75" s="904">
        <f>E75*G75*_xlfn.XLOOKUP(K75,'Utslippsfaktorer Transport'!$A$26:$A$29,'Utslippsfaktorer Transport'!$F$26:$F$29)/1000/D75</f>
        <v>0</v>
      </c>
      <c r="AL75" s="904">
        <f>E75*G75*_xlfn.XLOOKUP(K75,'Utslippsfaktorer Transport'!$A$26:$A$29,'Utslippsfaktorer Transport'!$G$26:$G$29)/1000/D75</f>
        <v>0</v>
      </c>
      <c r="AM75" s="904">
        <f>E75*G75*_xlfn.XLOOKUP(K75,'Utslippsfaktorer Transport'!$A$26:$A$29,'Utslippsfaktorer Transport'!$H$26:$H$29)/1000/D75</f>
        <v>0</v>
      </c>
      <c r="AN75" s="442">
        <f>H75*E75*_xlfn.XLOOKUP(L75,'Utslippsfaktorer Transport'!$A$23:$A$25,'Utslippsfaktorer Transport'!$C$23:$C$25)/1000/D75</f>
        <v>0</v>
      </c>
      <c r="AO75" s="442">
        <f>H75*E75*_xlfn.XLOOKUP(L75,'Utslippsfaktorer Transport'!$A$23:$A$25,'Utslippsfaktorer Transport'!$D$23:$D$25)/1000/D75</f>
        <v>0</v>
      </c>
      <c r="AP75" s="902">
        <f>H75*E75*_xlfn.XLOOKUP(L75,'Utslippsfaktorer Transport'!$A$23:$A$25,'Utslippsfaktorer Transport'!$E$23:$E$25)/1000/D75</f>
        <v>0</v>
      </c>
    </row>
    <row r="76" spans="1:42" outlineLevel="1" x14ac:dyDescent="0.3">
      <c r="A76" s="338">
        <v>0</v>
      </c>
      <c r="B76" s="906">
        <f>VLOOKUP(C76,'Vann og Avløp-utslippsfaktorer'!$A$3:$D$82,4,FALSE)</f>
        <v>2420</v>
      </c>
      <c r="C76" s="373" t="s">
        <v>302</v>
      </c>
      <c r="D76" s="689">
        <v>1</v>
      </c>
      <c r="E76" s="315">
        <v>0</v>
      </c>
      <c r="F76" s="315">
        <v>100</v>
      </c>
      <c r="G76" s="315">
        <v>0</v>
      </c>
      <c r="H76" s="340">
        <v>0</v>
      </c>
      <c r="I76" s="483" t="s">
        <v>865</v>
      </c>
      <c r="J76" s="360" t="s">
        <v>648</v>
      </c>
      <c r="K76" s="360" t="s">
        <v>871</v>
      </c>
      <c r="L76" s="360" t="s">
        <v>868</v>
      </c>
      <c r="M76" s="473">
        <f>_xlfn.XLOOKUP(I76,'Utslippsfaktorer Transport'!$A$10:$A$19,'Utslippsfaktorer Transport'!$B$10:$B$19)*_xlfn.XLOOKUP(J76,'Utslippsfaktorer Transport'!$A$34:$A$52,'Utslippsfaktorer Transport'!$E$34:$E$52)</f>
        <v>64.47</v>
      </c>
      <c r="N76" s="442">
        <f>_xlfn.XLOOKUP(K76,'Utslippsfaktorer Transport'!$A$27:$A$29,'Utslippsfaktorer Transport'!$F$27:$F$29)</f>
        <v>17.5</v>
      </c>
      <c r="O76" s="902">
        <f>_xlfn.XLOOKUP(L76,'Utslippsfaktorer Transport'!$A$23:$A$25,'Utslippsfaktorer Transport'!$C$23:$C$25)</f>
        <v>0</v>
      </c>
      <c r="P76" s="313"/>
      <c r="Q76" s="313"/>
      <c r="R76" s="313"/>
      <c r="S76" s="313"/>
      <c r="T76" s="316"/>
      <c r="AG76" s="373" t="s">
        <v>302</v>
      </c>
      <c r="AH76" s="442">
        <f>E76*F76*_xlfn.XLOOKUP(I76,'Utslippsfaktorer Transport'!$A$9:$A$19,'Utslippsfaktorer Transport'!$B$9:$B$19)*_xlfn.XLOOKUP(J76,'Utslippsfaktorer Transport'!$A$33:$A$52,'Utslippsfaktorer Transport'!$B$33:$B$52)/1000/D76</f>
        <v>0</v>
      </c>
      <c r="AI76" s="442">
        <f>E76*F76*_xlfn.XLOOKUP(I76,'Utslippsfaktorer Transport'!$A$9:$A$19,'Utslippsfaktorer Transport'!$B$9:$B$19)*_xlfn.XLOOKUP(J76,'Utslippsfaktorer Transport'!$A$33:$A$52,'Utslippsfaktorer Transport'!$C$33:$C$52)/1000/D76</f>
        <v>0</v>
      </c>
      <c r="AJ76" s="442">
        <f>E76*F76*_xlfn.XLOOKUP(I76,'Utslippsfaktorer Transport'!$A$9:$A$19,'Utslippsfaktorer Transport'!$B$9:$B$19)*_xlfn.XLOOKUP(J76,'Utslippsfaktorer Transport'!$A$33:$A$52,'Utslippsfaktorer Transport'!$D$33:$D$52)/1000/D76</f>
        <v>0</v>
      </c>
      <c r="AK76" s="904">
        <f>E76*G76*_xlfn.XLOOKUP(K76,'Utslippsfaktorer Transport'!$A$26:$A$29,'Utslippsfaktorer Transport'!$F$26:$F$29)/1000/D76</f>
        <v>0</v>
      </c>
      <c r="AL76" s="904">
        <f>E76*G76*_xlfn.XLOOKUP(K76,'Utslippsfaktorer Transport'!$A$26:$A$29,'Utslippsfaktorer Transport'!$G$26:$G$29)/1000/D76</f>
        <v>0</v>
      </c>
      <c r="AM76" s="904">
        <f>E76*G76*_xlfn.XLOOKUP(K76,'Utslippsfaktorer Transport'!$A$26:$A$29,'Utslippsfaktorer Transport'!$H$26:$H$29)/1000/D76</f>
        <v>0</v>
      </c>
      <c r="AN76" s="442">
        <f>H76*E76*_xlfn.XLOOKUP(L76,'Utslippsfaktorer Transport'!$A$23:$A$25,'Utslippsfaktorer Transport'!$C$23:$C$25)/1000/D76</f>
        <v>0</v>
      </c>
      <c r="AO76" s="442">
        <f>H76*E76*_xlfn.XLOOKUP(L76,'Utslippsfaktorer Transport'!$A$23:$A$25,'Utslippsfaktorer Transport'!$D$23:$D$25)/1000/D76</f>
        <v>0</v>
      </c>
      <c r="AP76" s="902">
        <f>H76*E76*_xlfn.XLOOKUP(L76,'Utslippsfaktorer Transport'!$A$23:$A$25,'Utslippsfaktorer Transport'!$E$23:$E$25)/1000/D76</f>
        <v>0</v>
      </c>
    </row>
    <row r="77" spans="1:42" outlineLevel="1" x14ac:dyDescent="0.3">
      <c r="A77" s="338">
        <v>0</v>
      </c>
      <c r="B77" s="906">
        <f>VLOOKUP(C77,'Vann og Avløp-utslippsfaktorer'!$A$3:$D$89,4,FALSE)</f>
        <v>2100</v>
      </c>
      <c r="C77" s="373" t="s">
        <v>23</v>
      </c>
      <c r="D77" s="689">
        <v>1</v>
      </c>
      <c r="E77" s="315">
        <v>0</v>
      </c>
      <c r="F77" s="315">
        <v>100</v>
      </c>
      <c r="G77" s="315">
        <v>0</v>
      </c>
      <c r="H77" s="340">
        <v>0</v>
      </c>
      <c r="I77" s="483" t="s">
        <v>865</v>
      </c>
      <c r="J77" s="360" t="s">
        <v>648</v>
      </c>
      <c r="K77" s="360" t="s">
        <v>871</v>
      </c>
      <c r="L77" s="360" t="s">
        <v>868</v>
      </c>
      <c r="M77" s="473">
        <f>_xlfn.XLOOKUP(I77,'Utslippsfaktorer Transport'!$A$10:$A$19,'Utslippsfaktorer Transport'!$B$10:$B$19)*_xlfn.XLOOKUP(J77,'Utslippsfaktorer Transport'!$A$34:$A$52,'Utslippsfaktorer Transport'!$E$34:$E$52)</f>
        <v>64.47</v>
      </c>
      <c r="N77" s="442">
        <f>_xlfn.XLOOKUP(K77,'Utslippsfaktorer Transport'!$A$27:$A$29,'Utslippsfaktorer Transport'!$F$27:$F$29)</f>
        <v>17.5</v>
      </c>
      <c r="O77" s="902">
        <f>_xlfn.XLOOKUP(L77,'Utslippsfaktorer Transport'!$A$23:$A$25,'Utslippsfaktorer Transport'!$C$23:$C$25)</f>
        <v>0</v>
      </c>
      <c r="P77" s="313"/>
      <c r="Q77" s="313"/>
      <c r="R77" s="313"/>
      <c r="S77" s="313"/>
      <c r="T77" s="316"/>
      <c r="AG77" s="373" t="s">
        <v>23</v>
      </c>
      <c r="AH77" s="442">
        <f>E77*F77*_xlfn.XLOOKUP(I77,'Utslippsfaktorer Transport'!$A$9:$A$19,'Utslippsfaktorer Transport'!$B$9:$B$19)*_xlfn.XLOOKUP(J77,'Utslippsfaktorer Transport'!$A$33:$A$52,'Utslippsfaktorer Transport'!$B$33:$B$52)/1000/D77</f>
        <v>0</v>
      </c>
      <c r="AI77" s="442">
        <f>E77*F77*_xlfn.XLOOKUP(I77,'Utslippsfaktorer Transport'!$A$9:$A$19,'Utslippsfaktorer Transport'!$B$9:$B$19)*_xlfn.XLOOKUP(J77,'Utslippsfaktorer Transport'!$A$33:$A$52,'Utslippsfaktorer Transport'!$C$33:$C$52)/1000/D77</f>
        <v>0</v>
      </c>
      <c r="AJ77" s="442">
        <f>E77*F77*_xlfn.XLOOKUP(I77,'Utslippsfaktorer Transport'!$A$9:$A$19,'Utslippsfaktorer Transport'!$B$9:$B$19)*_xlfn.XLOOKUP(J77,'Utslippsfaktorer Transport'!$A$33:$A$52,'Utslippsfaktorer Transport'!$D$33:$D$52)/1000/D77</f>
        <v>0</v>
      </c>
      <c r="AK77" s="904">
        <f>E77*G77*_xlfn.XLOOKUP(K77,'Utslippsfaktorer Transport'!$A$26:$A$29,'Utslippsfaktorer Transport'!$F$26:$F$29)/1000/D77</f>
        <v>0</v>
      </c>
      <c r="AL77" s="904">
        <f>E77*G77*_xlfn.XLOOKUP(K77,'Utslippsfaktorer Transport'!$A$26:$A$29,'Utslippsfaktorer Transport'!$G$26:$G$29)/1000/D77</f>
        <v>0</v>
      </c>
      <c r="AM77" s="904">
        <f>E77*G77*_xlfn.XLOOKUP(K77,'Utslippsfaktorer Transport'!$A$26:$A$29,'Utslippsfaktorer Transport'!$H$26:$H$29)/1000/D77</f>
        <v>0</v>
      </c>
      <c r="AN77" s="442">
        <f>H77*E77*_xlfn.XLOOKUP(L77,'Utslippsfaktorer Transport'!$A$23:$A$25,'Utslippsfaktorer Transport'!$C$23:$C$25)/1000/D77</f>
        <v>0</v>
      </c>
      <c r="AO77" s="442">
        <f>H77*E77*_xlfn.XLOOKUP(L77,'Utslippsfaktorer Transport'!$A$23:$A$25,'Utslippsfaktorer Transport'!$D$23:$D$25)/1000/D77</f>
        <v>0</v>
      </c>
      <c r="AP77" s="902">
        <f>H77*E77*_xlfn.XLOOKUP(L77,'Utslippsfaktorer Transport'!$A$23:$A$25,'Utslippsfaktorer Transport'!$E$23:$E$25)/1000/D77</f>
        <v>0</v>
      </c>
    </row>
    <row r="78" spans="1:42" outlineLevel="1" x14ac:dyDescent="0.3">
      <c r="A78" s="338">
        <v>0</v>
      </c>
      <c r="B78" s="906">
        <f>VLOOKUP(C78,'Vann og Avløp-utslippsfaktorer'!$A$3:$D$89,4,FALSE)</f>
        <v>353</v>
      </c>
      <c r="C78" s="373" t="s">
        <v>285</v>
      </c>
      <c r="D78" s="689">
        <v>1</v>
      </c>
      <c r="E78" s="315">
        <v>0</v>
      </c>
      <c r="F78" s="315">
        <v>100</v>
      </c>
      <c r="G78" s="315">
        <v>0</v>
      </c>
      <c r="H78" s="340">
        <v>0</v>
      </c>
      <c r="I78" s="483" t="s">
        <v>865</v>
      </c>
      <c r="J78" s="360" t="s">
        <v>648</v>
      </c>
      <c r="K78" s="360" t="s">
        <v>871</v>
      </c>
      <c r="L78" s="360" t="s">
        <v>868</v>
      </c>
      <c r="M78" s="473">
        <f>_xlfn.XLOOKUP(I78,'Utslippsfaktorer Transport'!$A$10:$A$19,'Utslippsfaktorer Transport'!$B$10:$B$19)*_xlfn.XLOOKUP(J78,'Utslippsfaktorer Transport'!$A$34:$A$52,'Utslippsfaktorer Transport'!$E$34:$E$52)</f>
        <v>64.47</v>
      </c>
      <c r="N78" s="442">
        <f>_xlfn.XLOOKUP(K78,'Utslippsfaktorer Transport'!$A$27:$A$29,'Utslippsfaktorer Transport'!$F$27:$F$29)</f>
        <v>17.5</v>
      </c>
      <c r="O78" s="902">
        <f>_xlfn.XLOOKUP(L78,'Utslippsfaktorer Transport'!$A$23:$A$25,'Utslippsfaktorer Transport'!$C$23:$C$25)</f>
        <v>0</v>
      </c>
      <c r="P78" s="313"/>
      <c r="Q78" s="313"/>
      <c r="R78" s="313"/>
      <c r="S78" s="313"/>
      <c r="T78" s="316"/>
      <c r="AG78" s="373" t="s">
        <v>285</v>
      </c>
      <c r="AH78" s="442">
        <f>E78*F78*_xlfn.XLOOKUP(I78,'Utslippsfaktorer Transport'!$A$9:$A$19,'Utslippsfaktorer Transport'!$B$9:$B$19)*_xlfn.XLOOKUP(J78,'Utslippsfaktorer Transport'!$A$33:$A$52,'Utslippsfaktorer Transport'!$B$33:$B$52)/1000/D78</f>
        <v>0</v>
      </c>
      <c r="AI78" s="442">
        <f>E78*F78*_xlfn.XLOOKUP(I78,'Utslippsfaktorer Transport'!$A$9:$A$19,'Utslippsfaktorer Transport'!$B$9:$B$19)*_xlfn.XLOOKUP(J78,'Utslippsfaktorer Transport'!$A$33:$A$52,'Utslippsfaktorer Transport'!$C$33:$C$52)/1000/D78</f>
        <v>0</v>
      </c>
      <c r="AJ78" s="442">
        <f>E78*F78*_xlfn.XLOOKUP(I78,'Utslippsfaktorer Transport'!$A$9:$A$19,'Utslippsfaktorer Transport'!$B$9:$B$19)*_xlfn.XLOOKUP(J78,'Utslippsfaktorer Transport'!$A$33:$A$52,'Utslippsfaktorer Transport'!$D$33:$D$52)/1000/D78</f>
        <v>0</v>
      </c>
      <c r="AK78" s="904">
        <f>E78*G78*_xlfn.XLOOKUP(K78,'Utslippsfaktorer Transport'!$A$26:$A$29,'Utslippsfaktorer Transport'!$F$26:$F$29)/1000/D78</f>
        <v>0</v>
      </c>
      <c r="AL78" s="904">
        <f>E78*G78*_xlfn.XLOOKUP(K78,'Utslippsfaktorer Transport'!$A$26:$A$29,'Utslippsfaktorer Transport'!$G$26:$G$29)/1000/D78</f>
        <v>0</v>
      </c>
      <c r="AM78" s="904">
        <f>E78*G78*_xlfn.XLOOKUP(K78,'Utslippsfaktorer Transport'!$A$26:$A$29,'Utslippsfaktorer Transport'!$H$26:$H$29)/1000/D78</f>
        <v>0</v>
      </c>
      <c r="AN78" s="442">
        <f>H78*E78*_xlfn.XLOOKUP(L78,'Utslippsfaktorer Transport'!$A$23:$A$25,'Utslippsfaktorer Transport'!$C$23:$C$25)/1000/D78</f>
        <v>0</v>
      </c>
      <c r="AO78" s="442">
        <f>H78*E78*_xlfn.XLOOKUP(L78,'Utslippsfaktorer Transport'!$A$23:$A$25,'Utslippsfaktorer Transport'!$D$23:$D$25)/1000/D78</f>
        <v>0</v>
      </c>
      <c r="AP78" s="902">
        <f>H78*E78*_xlfn.XLOOKUP(L78,'Utslippsfaktorer Transport'!$A$23:$A$25,'Utslippsfaktorer Transport'!$E$23:$E$25)/1000/D78</f>
        <v>0</v>
      </c>
    </row>
    <row r="79" spans="1:42" outlineLevel="1" x14ac:dyDescent="0.3">
      <c r="A79" s="338">
        <v>0</v>
      </c>
      <c r="B79" s="906">
        <f>VLOOKUP(C79,'Vann og Avløp-utslippsfaktorer'!$A$3:$D$89,4,FALSE)</f>
        <v>777</v>
      </c>
      <c r="C79" s="373" t="s">
        <v>287</v>
      </c>
      <c r="D79" s="689">
        <v>1</v>
      </c>
      <c r="E79" s="315">
        <v>0</v>
      </c>
      <c r="F79" s="315">
        <v>100</v>
      </c>
      <c r="G79" s="315">
        <v>0</v>
      </c>
      <c r="H79" s="340">
        <v>0</v>
      </c>
      <c r="I79" s="483" t="s">
        <v>865</v>
      </c>
      <c r="J79" s="360" t="s">
        <v>648</v>
      </c>
      <c r="K79" s="360" t="s">
        <v>871</v>
      </c>
      <c r="L79" s="360" t="s">
        <v>868</v>
      </c>
      <c r="M79" s="473">
        <f>_xlfn.XLOOKUP(I79,'Utslippsfaktorer Transport'!$A$10:$A$19,'Utslippsfaktorer Transport'!$B$10:$B$19)*_xlfn.XLOOKUP(J79,'Utslippsfaktorer Transport'!$A$34:$A$52,'Utslippsfaktorer Transport'!$E$34:$E$52)</f>
        <v>64.47</v>
      </c>
      <c r="N79" s="442">
        <f>_xlfn.XLOOKUP(K79,'Utslippsfaktorer Transport'!$A$27:$A$29,'Utslippsfaktorer Transport'!$F$27:$F$29)</f>
        <v>17.5</v>
      </c>
      <c r="O79" s="902">
        <f>_xlfn.XLOOKUP(L79,'Utslippsfaktorer Transport'!$A$23:$A$25,'Utslippsfaktorer Transport'!$C$23:$C$25)</f>
        <v>0</v>
      </c>
      <c r="P79" s="313"/>
      <c r="Q79" s="313"/>
      <c r="R79" s="313"/>
      <c r="S79" s="313"/>
      <c r="T79" s="316"/>
      <c r="AG79" s="373" t="s">
        <v>287</v>
      </c>
      <c r="AH79" s="442">
        <f>E79*F79*_xlfn.XLOOKUP(I79,'Utslippsfaktorer Transport'!$A$9:$A$19,'Utslippsfaktorer Transport'!$B$9:$B$19)*_xlfn.XLOOKUP(J79,'Utslippsfaktorer Transport'!$A$33:$A$52,'Utslippsfaktorer Transport'!$B$33:$B$52)/1000/D79</f>
        <v>0</v>
      </c>
      <c r="AI79" s="442">
        <f>E79*F79*_xlfn.XLOOKUP(I79,'Utslippsfaktorer Transport'!$A$9:$A$19,'Utslippsfaktorer Transport'!$B$9:$B$19)*_xlfn.XLOOKUP(J79,'Utslippsfaktorer Transport'!$A$33:$A$52,'Utslippsfaktorer Transport'!$C$33:$C$52)/1000/D79</f>
        <v>0</v>
      </c>
      <c r="AJ79" s="442">
        <f>E79*F79*_xlfn.XLOOKUP(I79,'Utslippsfaktorer Transport'!$A$9:$A$19,'Utslippsfaktorer Transport'!$B$9:$B$19)*_xlfn.XLOOKUP(J79,'Utslippsfaktorer Transport'!$A$33:$A$52,'Utslippsfaktorer Transport'!$D$33:$D$52)/1000/D79</f>
        <v>0</v>
      </c>
      <c r="AK79" s="904">
        <f>E79*G79*_xlfn.XLOOKUP(K79,'Utslippsfaktorer Transport'!$A$26:$A$29,'Utslippsfaktorer Transport'!$F$26:$F$29)/1000/D79</f>
        <v>0</v>
      </c>
      <c r="AL79" s="904">
        <f>E79*G79*_xlfn.XLOOKUP(K79,'Utslippsfaktorer Transport'!$A$26:$A$29,'Utslippsfaktorer Transport'!$G$26:$G$29)/1000/D79</f>
        <v>0</v>
      </c>
      <c r="AM79" s="904">
        <f>E79*G79*_xlfn.XLOOKUP(K79,'Utslippsfaktorer Transport'!$A$26:$A$29,'Utslippsfaktorer Transport'!$H$26:$H$29)/1000/D79</f>
        <v>0</v>
      </c>
      <c r="AN79" s="442">
        <f>H79*E79*_xlfn.XLOOKUP(L79,'Utslippsfaktorer Transport'!$A$23:$A$25,'Utslippsfaktorer Transport'!$C$23:$C$25)/1000/D79</f>
        <v>0</v>
      </c>
      <c r="AO79" s="442">
        <f>H79*E79*_xlfn.XLOOKUP(L79,'Utslippsfaktorer Transport'!$A$23:$A$25,'Utslippsfaktorer Transport'!$D$23:$D$25)/1000/D79</f>
        <v>0</v>
      </c>
      <c r="AP79" s="902">
        <f>H79*E79*_xlfn.XLOOKUP(L79,'Utslippsfaktorer Transport'!$A$23:$A$25,'Utslippsfaktorer Transport'!$E$23:$E$25)/1000/D79</f>
        <v>0</v>
      </c>
    </row>
    <row r="80" spans="1:42" outlineLevel="1" x14ac:dyDescent="0.3">
      <c r="A80" s="338">
        <v>0</v>
      </c>
      <c r="B80" s="906">
        <f>VLOOKUP(C80,'Vann og Avløp-utslippsfaktorer'!$A$3:$D$89,4,FALSE)</f>
        <v>551</v>
      </c>
      <c r="C80" s="373" t="s">
        <v>311</v>
      </c>
      <c r="D80" s="689">
        <v>1</v>
      </c>
      <c r="E80" s="315">
        <v>0</v>
      </c>
      <c r="F80" s="315">
        <v>100</v>
      </c>
      <c r="G80" s="315">
        <v>0</v>
      </c>
      <c r="H80" s="340">
        <v>0</v>
      </c>
      <c r="I80" s="483" t="s">
        <v>865</v>
      </c>
      <c r="J80" s="360" t="s">
        <v>648</v>
      </c>
      <c r="K80" s="360" t="s">
        <v>871</v>
      </c>
      <c r="L80" s="360" t="s">
        <v>868</v>
      </c>
      <c r="M80" s="473">
        <f>_xlfn.XLOOKUP(I80,'Utslippsfaktorer Transport'!$A$10:$A$19,'Utslippsfaktorer Transport'!$B$10:$B$19)*_xlfn.XLOOKUP(J80,'Utslippsfaktorer Transport'!$A$34:$A$52,'Utslippsfaktorer Transport'!$E$34:$E$52)</f>
        <v>64.47</v>
      </c>
      <c r="N80" s="442">
        <f>_xlfn.XLOOKUP(K80,'Utslippsfaktorer Transport'!$A$27:$A$29,'Utslippsfaktorer Transport'!$F$27:$F$29)</f>
        <v>17.5</v>
      </c>
      <c r="O80" s="902">
        <f>_xlfn.XLOOKUP(L80,'Utslippsfaktorer Transport'!$A$23:$A$25,'Utslippsfaktorer Transport'!$C$23:$C$25)</f>
        <v>0</v>
      </c>
      <c r="P80" s="313"/>
      <c r="Q80" s="313"/>
      <c r="R80" s="313"/>
      <c r="S80" s="313"/>
      <c r="T80" s="316"/>
      <c r="AG80" s="373" t="s">
        <v>311</v>
      </c>
      <c r="AH80" s="442">
        <f>E80*F80*_xlfn.XLOOKUP(I80,'Utslippsfaktorer Transport'!$A$9:$A$19,'Utslippsfaktorer Transport'!$B$9:$B$19)*_xlfn.XLOOKUP(J80,'Utslippsfaktorer Transport'!$A$33:$A$52,'Utslippsfaktorer Transport'!$B$33:$B$52)/1000/D80</f>
        <v>0</v>
      </c>
      <c r="AI80" s="442">
        <f>E80*F80*_xlfn.XLOOKUP(I80,'Utslippsfaktorer Transport'!$A$9:$A$19,'Utslippsfaktorer Transport'!$B$9:$B$19)*_xlfn.XLOOKUP(J80,'Utslippsfaktorer Transport'!$A$33:$A$52,'Utslippsfaktorer Transport'!$C$33:$C$52)/1000/D80</f>
        <v>0</v>
      </c>
      <c r="AJ80" s="442">
        <f>E80*F80*_xlfn.XLOOKUP(I80,'Utslippsfaktorer Transport'!$A$9:$A$19,'Utslippsfaktorer Transport'!$B$9:$B$19)*_xlfn.XLOOKUP(J80,'Utslippsfaktorer Transport'!$A$33:$A$52,'Utslippsfaktorer Transport'!$D$33:$D$52)/1000/D80</f>
        <v>0</v>
      </c>
      <c r="AK80" s="904">
        <f>E80*G80*_xlfn.XLOOKUP(K80,'Utslippsfaktorer Transport'!$A$26:$A$29,'Utslippsfaktorer Transport'!$F$26:$F$29)/1000/D80</f>
        <v>0</v>
      </c>
      <c r="AL80" s="904">
        <f>E80*G80*_xlfn.XLOOKUP(K80,'Utslippsfaktorer Transport'!$A$26:$A$29,'Utslippsfaktorer Transport'!$G$26:$G$29)/1000/D80</f>
        <v>0</v>
      </c>
      <c r="AM80" s="904">
        <f>E80*G80*_xlfn.XLOOKUP(K80,'Utslippsfaktorer Transport'!$A$26:$A$29,'Utslippsfaktorer Transport'!$H$26:$H$29)/1000/D80</f>
        <v>0</v>
      </c>
      <c r="AN80" s="442">
        <f>H80*E80*_xlfn.XLOOKUP(L80,'Utslippsfaktorer Transport'!$A$23:$A$25,'Utslippsfaktorer Transport'!$C$23:$C$25)/1000/D80</f>
        <v>0</v>
      </c>
      <c r="AO80" s="442">
        <f>H80*E80*_xlfn.XLOOKUP(L80,'Utslippsfaktorer Transport'!$A$23:$A$25,'Utslippsfaktorer Transport'!$D$23:$D$25)/1000/D80</f>
        <v>0</v>
      </c>
      <c r="AP80" s="902">
        <f>H80*E80*_xlfn.XLOOKUP(L80,'Utslippsfaktorer Transport'!$A$23:$A$25,'Utslippsfaktorer Transport'!$E$23:$E$25)/1000/D80</f>
        <v>0</v>
      </c>
    </row>
    <row r="81" spans="1:42" outlineLevel="1" x14ac:dyDescent="0.3">
      <c r="A81" s="338">
        <v>0</v>
      </c>
      <c r="B81" s="906">
        <f>VLOOKUP(C81,'Vann og Avløp-utslippsfaktorer'!$A$3:$D$89,4,FALSE)</f>
        <v>1120</v>
      </c>
      <c r="C81" s="373" t="s">
        <v>301</v>
      </c>
      <c r="D81" s="689">
        <v>1</v>
      </c>
      <c r="E81" s="315">
        <v>0</v>
      </c>
      <c r="F81" s="315">
        <v>100</v>
      </c>
      <c r="G81" s="315">
        <v>0</v>
      </c>
      <c r="H81" s="340">
        <v>0</v>
      </c>
      <c r="I81" s="483" t="s">
        <v>865</v>
      </c>
      <c r="J81" s="360" t="s">
        <v>648</v>
      </c>
      <c r="K81" s="360" t="s">
        <v>871</v>
      </c>
      <c r="L81" s="360" t="s">
        <v>868</v>
      </c>
      <c r="M81" s="473">
        <f>_xlfn.XLOOKUP(I81,'Utslippsfaktorer Transport'!$A$10:$A$19,'Utslippsfaktorer Transport'!$B$10:$B$19)*_xlfn.XLOOKUP(J81,'Utslippsfaktorer Transport'!$A$34:$A$52,'Utslippsfaktorer Transport'!$E$34:$E$52)</f>
        <v>64.47</v>
      </c>
      <c r="N81" s="442">
        <f>_xlfn.XLOOKUP(K81,'Utslippsfaktorer Transport'!$A$27:$A$29,'Utslippsfaktorer Transport'!$F$27:$F$29)</f>
        <v>17.5</v>
      </c>
      <c r="O81" s="902">
        <f>_xlfn.XLOOKUP(L81,'Utslippsfaktorer Transport'!$A$23:$A$25,'Utslippsfaktorer Transport'!$C$23:$C$25)</f>
        <v>0</v>
      </c>
      <c r="P81" s="313"/>
      <c r="Q81" s="313"/>
      <c r="R81" s="313"/>
      <c r="S81" s="313"/>
      <c r="T81" s="316"/>
      <c r="AG81" s="373" t="s">
        <v>301</v>
      </c>
      <c r="AH81" s="442">
        <f>E81*F81*_xlfn.XLOOKUP(I81,'Utslippsfaktorer Transport'!$A$9:$A$19,'Utslippsfaktorer Transport'!$B$9:$B$19)*_xlfn.XLOOKUP(J81,'Utslippsfaktorer Transport'!$A$33:$A$52,'Utslippsfaktorer Transport'!$B$33:$B$52)/1000/D81</f>
        <v>0</v>
      </c>
      <c r="AI81" s="442">
        <f>E81*F81*_xlfn.XLOOKUP(I81,'Utslippsfaktorer Transport'!$A$9:$A$19,'Utslippsfaktorer Transport'!$B$9:$B$19)*_xlfn.XLOOKUP(J81,'Utslippsfaktorer Transport'!$A$33:$A$52,'Utslippsfaktorer Transport'!$C$33:$C$52)/1000/D81</f>
        <v>0</v>
      </c>
      <c r="AJ81" s="442">
        <f>E81*F81*_xlfn.XLOOKUP(I81,'Utslippsfaktorer Transport'!$A$9:$A$19,'Utslippsfaktorer Transport'!$B$9:$B$19)*_xlfn.XLOOKUP(J81,'Utslippsfaktorer Transport'!$A$33:$A$52,'Utslippsfaktorer Transport'!$D$33:$D$52)/1000/D81</f>
        <v>0</v>
      </c>
      <c r="AK81" s="904">
        <f>E81*G81*_xlfn.XLOOKUP(K81,'Utslippsfaktorer Transport'!$A$26:$A$29,'Utslippsfaktorer Transport'!$F$26:$F$29)/1000/D81</f>
        <v>0</v>
      </c>
      <c r="AL81" s="904">
        <f>E81*G81*_xlfn.XLOOKUP(K81,'Utslippsfaktorer Transport'!$A$26:$A$29,'Utslippsfaktorer Transport'!$G$26:$G$29)/1000/D81</f>
        <v>0</v>
      </c>
      <c r="AM81" s="904">
        <f>E81*G81*_xlfn.XLOOKUP(K81,'Utslippsfaktorer Transport'!$A$26:$A$29,'Utslippsfaktorer Transport'!$H$26:$H$29)/1000/D81</f>
        <v>0</v>
      </c>
      <c r="AN81" s="442">
        <f>H81*E81*_xlfn.XLOOKUP(L81,'Utslippsfaktorer Transport'!$A$23:$A$25,'Utslippsfaktorer Transport'!$C$23:$C$25)/1000/D81</f>
        <v>0</v>
      </c>
      <c r="AO81" s="442">
        <f>H81*E81*_xlfn.XLOOKUP(L81,'Utslippsfaktorer Transport'!$A$23:$A$25,'Utslippsfaktorer Transport'!$D$23:$D$25)/1000/D81</f>
        <v>0</v>
      </c>
      <c r="AP81" s="902">
        <f>H81*E81*_xlfn.XLOOKUP(L81,'Utslippsfaktorer Transport'!$A$23:$A$25,'Utslippsfaktorer Transport'!$E$23:$E$25)/1000/D81</f>
        <v>0</v>
      </c>
    </row>
    <row r="82" spans="1:42" outlineLevel="1" x14ac:dyDescent="0.3">
      <c r="A82" s="338">
        <v>0</v>
      </c>
      <c r="B82" s="906">
        <f>VLOOKUP(C82,'Vann og Avløp-utslippsfaktorer'!$A$3:$D$89,4,FALSE)</f>
        <v>10</v>
      </c>
      <c r="C82" s="373" t="s">
        <v>312</v>
      </c>
      <c r="D82" s="689">
        <v>1</v>
      </c>
      <c r="E82" s="315">
        <v>0</v>
      </c>
      <c r="F82" s="315">
        <v>100</v>
      </c>
      <c r="G82" s="315">
        <v>0</v>
      </c>
      <c r="H82" s="340">
        <v>0</v>
      </c>
      <c r="I82" s="483" t="s">
        <v>865</v>
      </c>
      <c r="J82" s="360" t="s">
        <v>648</v>
      </c>
      <c r="K82" s="360" t="s">
        <v>871</v>
      </c>
      <c r="L82" s="360" t="s">
        <v>868</v>
      </c>
      <c r="M82" s="473">
        <f>_xlfn.XLOOKUP(I82,'Utslippsfaktorer Transport'!$A$10:$A$19,'Utslippsfaktorer Transport'!$B$10:$B$19)*_xlfn.XLOOKUP(J82,'Utslippsfaktorer Transport'!$A$34:$A$52,'Utslippsfaktorer Transport'!$E$34:$E$52)</f>
        <v>64.47</v>
      </c>
      <c r="N82" s="442">
        <f>_xlfn.XLOOKUP(K82,'Utslippsfaktorer Transport'!$A$27:$A$29,'Utslippsfaktorer Transport'!$F$27:$F$29)</f>
        <v>17.5</v>
      </c>
      <c r="O82" s="902">
        <f>_xlfn.XLOOKUP(L82,'Utslippsfaktorer Transport'!$A$23:$A$25,'Utslippsfaktorer Transport'!$C$23:$C$25)</f>
        <v>0</v>
      </c>
      <c r="P82" s="313"/>
      <c r="Q82" s="313"/>
      <c r="R82" s="313"/>
      <c r="S82" s="313"/>
      <c r="T82" s="316"/>
      <c r="AG82" s="373" t="s">
        <v>312</v>
      </c>
      <c r="AH82" s="442">
        <f>E82*F82*_xlfn.XLOOKUP(I82,'Utslippsfaktorer Transport'!$A$9:$A$19,'Utslippsfaktorer Transport'!$B$9:$B$19)*_xlfn.XLOOKUP(J82,'Utslippsfaktorer Transport'!$A$33:$A$52,'Utslippsfaktorer Transport'!$B$33:$B$52)/1000/D82</f>
        <v>0</v>
      </c>
      <c r="AI82" s="442">
        <f>E82*F82*_xlfn.XLOOKUP(I82,'Utslippsfaktorer Transport'!$A$9:$A$19,'Utslippsfaktorer Transport'!$B$9:$B$19)*_xlfn.XLOOKUP(J82,'Utslippsfaktorer Transport'!$A$33:$A$52,'Utslippsfaktorer Transport'!$C$33:$C$52)/1000/D82</f>
        <v>0</v>
      </c>
      <c r="AJ82" s="442">
        <f>E82*F82*_xlfn.XLOOKUP(I82,'Utslippsfaktorer Transport'!$A$9:$A$19,'Utslippsfaktorer Transport'!$B$9:$B$19)*_xlfn.XLOOKUP(J82,'Utslippsfaktorer Transport'!$A$33:$A$52,'Utslippsfaktorer Transport'!$D$33:$D$52)/1000/D82</f>
        <v>0</v>
      </c>
      <c r="AK82" s="904">
        <f>E82*G82*_xlfn.XLOOKUP(K82,'Utslippsfaktorer Transport'!$A$26:$A$29,'Utslippsfaktorer Transport'!$F$26:$F$29)/1000/D82</f>
        <v>0</v>
      </c>
      <c r="AL82" s="904">
        <f>E82*G82*_xlfn.XLOOKUP(K82,'Utslippsfaktorer Transport'!$A$26:$A$29,'Utslippsfaktorer Transport'!$G$26:$G$29)/1000/D82</f>
        <v>0</v>
      </c>
      <c r="AM82" s="904">
        <f>E82*G82*_xlfn.XLOOKUP(K82,'Utslippsfaktorer Transport'!$A$26:$A$29,'Utslippsfaktorer Transport'!$H$26:$H$29)/1000/D82</f>
        <v>0</v>
      </c>
      <c r="AN82" s="442">
        <f>H82*E82*_xlfn.XLOOKUP(L82,'Utslippsfaktorer Transport'!$A$23:$A$25,'Utslippsfaktorer Transport'!$C$23:$C$25)/1000/D82</f>
        <v>0</v>
      </c>
      <c r="AO82" s="442">
        <f>H82*E82*_xlfn.XLOOKUP(L82,'Utslippsfaktorer Transport'!$A$23:$A$25,'Utslippsfaktorer Transport'!$D$23:$D$25)/1000/D82</f>
        <v>0</v>
      </c>
      <c r="AP82" s="902">
        <f>H82*E82*_xlfn.XLOOKUP(L82,'Utslippsfaktorer Transport'!$A$23:$A$25,'Utslippsfaktorer Transport'!$E$23:$E$25)/1000/D82</f>
        <v>0</v>
      </c>
    </row>
    <row r="83" spans="1:42" ht="15" outlineLevel="1" thickBot="1" x14ac:dyDescent="0.35">
      <c r="A83" s="326">
        <v>0</v>
      </c>
      <c r="B83" s="907">
        <f>VLOOKUP(C83,'Vann og Avløp-utslippsfaktorer'!$A$3:$D$89,4,FALSE)</f>
        <v>929.28</v>
      </c>
      <c r="C83" s="376" t="s">
        <v>498</v>
      </c>
      <c r="D83" s="690">
        <v>1</v>
      </c>
      <c r="E83" s="319">
        <v>0</v>
      </c>
      <c r="F83" s="319">
        <v>100</v>
      </c>
      <c r="G83" s="319">
        <v>0</v>
      </c>
      <c r="H83" s="352">
        <v>0</v>
      </c>
      <c r="I83" s="365" t="s">
        <v>865</v>
      </c>
      <c r="J83" s="329" t="s">
        <v>648</v>
      </c>
      <c r="K83" s="329" t="s">
        <v>871</v>
      </c>
      <c r="L83" s="329" t="s">
        <v>868</v>
      </c>
      <c r="M83" s="479">
        <f>_xlfn.XLOOKUP(I83,'Utslippsfaktorer Transport'!$A$10:$A$19,'Utslippsfaktorer Transport'!$B$10:$B$19)*_xlfn.XLOOKUP(J83,'Utslippsfaktorer Transport'!$A$34:$A$52,'Utslippsfaktorer Transport'!$E$34:$E$52)</f>
        <v>64.47</v>
      </c>
      <c r="N83" s="441">
        <f>_xlfn.XLOOKUP(K83,'Utslippsfaktorer Transport'!$A$27:$A$29,'Utslippsfaktorer Transport'!$F$27:$F$29)</f>
        <v>17.5</v>
      </c>
      <c r="O83" s="903">
        <f>_xlfn.XLOOKUP(L83,'Utslippsfaktorer Transport'!$A$23:$A$25,'Utslippsfaktorer Transport'!$C$23:$C$25)</f>
        <v>0</v>
      </c>
      <c r="P83" s="318"/>
      <c r="Q83" s="318"/>
      <c r="R83" s="318"/>
      <c r="S83" s="318"/>
      <c r="T83" s="320"/>
      <c r="AG83" s="376" t="s">
        <v>498</v>
      </c>
      <c r="AH83" s="441">
        <f>E83*F83*_xlfn.XLOOKUP(I83,'Utslippsfaktorer Transport'!$A$9:$A$19,'Utslippsfaktorer Transport'!$B$9:$B$19)*_xlfn.XLOOKUP(J83,'Utslippsfaktorer Transport'!$A$33:$A$52,'Utslippsfaktorer Transport'!$B$33:$B$52)/1000/D83</f>
        <v>0</v>
      </c>
      <c r="AI83" s="441">
        <f>E83*F83*_xlfn.XLOOKUP(I83,'Utslippsfaktorer Transport'!$A$9:$A$19,'Utslippsfaktorer Transport'!$B$9:$B$19)*_xlfn.XLOOKUP(J83,'Utslippsfaktorer Transport'!$A$33:$A$52,'Utslippsfaktorer Transport'!$C$33:$C$52)/1000/D83</f>
        <v>0</v>
      </c>
      <c r="AJ83" s="441">
        <f>E83*F83*_xlfn.XLOOKUP(I83,'Utslippsfaktorer Transport'!$A$9:$A$19,'Utslippsfaktorer Transport'!$B$9:$B$19)*_xlfn.XLOOKUP(J83,'Utslippsfaktorer Transport'!$A$33:$A$52,'Utslippsfaktorer Transport'!$D$33:$D$52)/1000/D83</f>
        <v>0</v>
      </c>
      <c r="AK83" s="905">
        <f>E83*G83*_xlfn.XLOOKUP(K83,'Utslippsfaktorer Transport'!$A$26:$A$29,'Utslippsfaktorer Transport'!$F$26:$F$29)/1000/D83</f>
        <v>0</v>
      </c>
      <c r="AL83" s="905">
        <f>E83*G83*_xlfn.XLOOKUP(K83,'Utslippsfaktorer Transport'!$A$26:$A$29,'Utslippsfaktorer Transport'!$G$26:$G$29)/1000/D83</f>
        <v>0</v>
      </c>
      <c r="AM83" s="905">
        <f>E83*G83*_xlfn.XLOOKUP(K83,'Utslippsfaktorer Transport'!$A$26:$A$29,'Utslippsfaktorer Transport'!$H$26:$H$29)/1000/D83</f>
        <v>0</v>
      </c>
      <c r="AN83" s="441">
        <f>H83*E83*_xlfn.XLOOKUP(L83,'Utslippsfaktorer Transport'!$A$23:$A$25,'Utslippsfaktorer Transport'!$C$23:$C$25)/1000/D83</f>
        <v>0</v>
      </c>
      <c r="AO83" s="441">
        <f>H83*E83*_xlfn.XLOOKUP(L83,'Utslippsfaktorer Transport'!$A$23:$A$25,'Utslippsfaktorer Transport'!$D$23:$D$25)/1000/D83</f>
        <v>0</v>
      </c>
      <c r="AP83" s="903">
        <f>H83*E83*_xlfn.XLOOKUP(L83,'Utslippsfaktorer Transport'!$A$23:$A$25,'Utslippsfaktorer Transport'!$E$23:$E$25)/1000/D83</f>
        <v>0</v>
      </c>
    </row>
    <row r="84" spans="1:42" ht="15" outlineLevel="1" thickBot="1" x14ac:dyDescent="0.35">
      <c r="A84" s="313"/>
      <c r="B84" s="313"/>
      <c r="C84" s="313"/>
      <c r="D84" s="691"/>
      <c r="E84" s="313"/>
      <c r="F84" s="313"/>
      <c r="G84" s="313"/>
      <c r="H84" s="313"/>
      <c r="I84" s="313"/>
      <c r="J84" s="313"/>
      <c r="K84" s="313"/>
      <c r="L84" s="313"/>
      <c r="M84" s="313"/>
      <c r="N84" s="313"/>
      <c r="O84" s="313"/>
      <c r="P84" s="313"/>
      <c r="Q84" s="313"/>
      <c r="R84" s="313"/>
      <c r="S84" s="313"/>
      <c r="T84" s="313"/>
      <c r="AG84" s="313"/>
      <c r="AH84" s="313"/>
      <c r="AI84" s="313"/>
      <c r="AJ84" s="313"/>
      <c r="AK84" s="657"/>
      <c r="AL84" s="657"/>
      <c r="AM84" s="657"/>
      <c r="AN84" s="313"/>
      <c r="AO84" s="313"/>
      <c r="AP84" s="313"/>
    </row>
    <row r="85" spans="1:42" ht="15" outlineLevel="1" thickBot="1" x14ac:dyDescent="0.35">
      <c r="B85" s="1139" t="s">
        <v>693</v>
      </c>
      <c r="C85" s="1139"/>
      <c r="D85" s="1139"/>
      <c r="E85" s="1139"/>
      <c r="F85" s="1139"/>
      <c r="G85" s="1139"/>
      <c r="H85" s="1139"/>
      <c r="I85" s="997"/>
      <c r="J85" s="997"/>
      <c r="K85" s="997"/>
      <c r="L85" s="997"/>
      <c r="M85" s="997"/>
      <c r="N85" s="997"/>
      <c r="O85" s="997"/>
      <c r="AG85" s="353"/>
      <c r="AH85" s="652"/>
      <c r="AI85" s="652"/>
      <c r="AJ85" s="652"/>
      <c r="AK85" s="692"/>
      <c r="AL85" s="692"/>
      <c r="AM85" s="692"/>
      <c r="AN85" s="652"/>
      <c r="AO85" s="652"/>
      <c r="AP85" s="653"/>
    </row>
    <row r="86" spans="1:42" ht="15.6" outlineLevel="1" x14ac:dyDescent="0.3">
      <c r="A86" s="370" t="s">
        <v>777</v>
      </c>
      <c r="B86" s="370" t="s">
        <v>689</v>
      </c>
      <c r="C86" s="654" t="s">
        <v>690</v>
      </c>
      <c r="D86" s="687" t="s">
        <v>763</v>
      </c>
      <c r="E86" s="656" t="s">
        <v>321</v>
      </c>
      <c r="F86" s="656" t="s">
        <v>669</v>
      </c>
      <c r="G86" s="656" t="s">
        <v>667</v>
      </c>
      <c r="H86" s="419" t="s">
        <v>670</v>
      </c>
      <c r="I86" s="378" t="s">
        <v>891</v>
      </c>
      <c r="J86" s="307" t="s">
        <v>892</v>
      </c>
      <c r="K86" s="307" t="s">
        <v>893</v>
      </c>
      <c r="L86" s="307" t="s">
        <v>890</v>
      </c>
      <c r="M86" s="307" t="s">
        <v>894</v>
      </c>
      <c r="N86" s="307" t="s">
        <v>895</v>
      </c>
      <c r="O86" s="419" t="s">
        <v>901</v>
      </c>
      <c r="AG86" s="654" t="s">
        <v>690</v>
      </c>
      <c r="AH86" s="307"/>
      <c r="AI86" s="307"/>
      <c r="AJ86" s="307"/>
      <c r="AK86" s="661"/>
      <c r="AL86" s="661"/>
      <c r="AM86" s="661"/>
      <c r="AN86" s="307"/>
      <c r="AO86" s="307"/>
      <c r="AP86" s="419"/>
    </row>
    <row r="87" spans="1:42" outlineLevel="1" x14ac:dyDescent="0.3">
      <c r="A87" s="483">
        <v>0</v>
      </c>
      <c r="B87" s="483"/>
      <c r="C87" s="483" t="s">
        <v>919</v>
      </c>
      <c r="D87" s="688">
        <v>1</v>
      </c>
      <c r="E87" s="315">
        <v>0</v>
      </c>
      <c r="F87" s="315">
        <v>100</v>
      </c>
      <c r="G87" s="315">
        <v>0</v>
      </c>
      <c r="H87" s="340">
        <v>0</v>
      </c>
      <c r="I87" s="483" t="s">
        <v>865</v>
      </c>
      <c r="J87" s="360" t="s">
        <v>648</v>
      </c>
      <c r="K87" s="360" t="s">
        <v>871</v>
      </c>
      <c r="L87" s="360" t="s">
        <v>868</v>
      </c>
      <c r="M87" s="473">
        <f>_xlfn.XLOOKUP(I87,'Utslippsfaktorer Transport'!$A$10:$A$19,'Utslippsfaktorer Transport'!$B$10:$B$19)*_xlfn.XLOOKUP(J87,'Utslippsfaktorer Transport'!$A$34:$A$52,'Utslippsfaktorer Transport'!$E$34:$E$52)</f>
        <v>64.47</v>
      </c>
      <c r="N87" s="442">
        <f>_xlfn.XLOOKUP(K87,'Utslippsfaktorer Transport'!$A$27:$A$29,'Utslippsfaktorer Transport'!$F$27:$F$29)</f>
        <v>17.5</v>
      </c>
      <c r="O87" s="902">
        <f>_xlfn.XLOOKUP(L87,'Utslippsfaktorer Transport'!$A$23:$A$25,'Utslippsfaktorer Transport'!$C$23:$C$25)</f>
        <v>0</v>
      </c>
      <c r="AG87" s="868" t="str">
        <f>C87</f>
        <v>F.eks Klor 15 %, mengde klor oppgis uten vann i tonn/år</v>
      </c>
      <c r="AH87" s="442">
        <f>E87*F87*_xlfn.XLOOKUP(I87,'Utslippsfaktorer Transport'!$A$9:$A$19,'Utslippsfaktorer Transport'!$B$9:$B$19)*_xlfn.XLOOKUP(J87,'Utslippsfaktorer Transport'!$A$33:$A$52,'Utslippsfaktorer Transport'!$B$33:$B$52)/1000/D87</f>
        <v>0</v>
      </c>
      <c r="AI87" s="442">
        <f>E87*F87*_xlfn.XLOOKUP(I87,'Utslippsfaktorer Transport'!$A$9:$A$19,'Utslippsfaktorer Transport'!$B$9:$B$19)*_xlfn.XLOOKUP(J87,'Utslippsfaktorer Transport'!$A$33:$A$52,'Utslippsfaktorer Transport'!$C$33:$C$52)/1000/D87</f>
        <v>0</v>
      </c>
      <c r="AJ87" s="442">
        <f>E87*F87*_xlfn.XLOOKUP(I87,'Utslippsfaktorer Transport'!$A$9:$A$19,'Utslippsfaktorer Transport'!$B$9:$B$19)*_xlfn.XLOOKUP(J87,'Utslippsfaktorer Transport'!$A$33:$A$52,'Utslippsfaktorer Transport'!$D$33:$D$52)/1000/D87</f>
        <v>0</v>
      </c>
      <c r="AK87" s="904">
        <f>E87*G87*_xlfn.XLOOKUP(K87,'Utslippsfaktorer Transport'!$A$26:$A$29,'Utslippsfaktorer Transport'!$F$26:$F$29)/1000/D87</f>
        <v>0</v>
      </c>
      <c r="AL87" s="904">
        <f>E87*G87*_xlfn.XLOOKUP(K87,'Utslippsfaktorer Transport'!$A$26:$A$29,'Utslippsfaktorer Transport'!$G$26:$G$29)/1000/D87</f>
        <v>0</v>
      </c>
      <c r="AM87" s="904">
        <f>E87*G87*_xlfn.XLOOKUP(K87,'Utslippsfaktorer Transport'!$A$26:$A$29,'Utslippsfaktorer Transport'!$H$26:$H$29)/1000/D87</f>
        <v>0</v>
      </c>
      <c r="AN87" s="442">
        <f>H87*E87*_xlfn.XLOOKUP(L87,'Utslippsfaktorer Transport'!$A$23:$A$25,'Utslippsfaktorer Transport'!$C$23:$C$25)/1000/D87</f>
        <v>0</v>
      </c>
      <c r="AO87" s="442">
        <f>H87*E87*_xlfn.XLOOKUP(L87,'Utslippsfaktorer Transport'!$A$23:$A$25,'Utslippsfaktorer Transport'!$D$23:$D$25)/1000/D87</f>
        <v>0</v>
      </c>
      <c r="AP87" s="902">
        <f>H87*E87*_xlfn.XLOOKUP(L87,'Utslippsfaktorer Transport'!$A$23:$A$25,'Utslippsfaktorer Transport'!$E$23:$E$25)/1000/D87</f>
        <v>0</v>
      </c>
    </row>
    <row r="88" spans="1:42" outlineLevel="1" x14ac:dyDescent="0.3">
      <c r="A88" s="483">
        <v>0</v>
      </c>
      <c r="B88" s="483"/>
      <c r="C88" s="483" t="s">
        <v>691</v>
      </c>
      <c r="D88" s="688">
        <v>1</v>
      </c>
      <c r="E88" s="315">
        <v>0</v>
      </c>
      <c r="F88" s="315">
        <v>100</v>
      </c>
      <c r="G88" s="315">
        <v>0</v>
      </c>
      <c r="H88" s="340">
        <v>0</v>
      </c>
      <c r="I88" s="483" t="s">
        <v>865</v>
      </c>
      <c r="J88" s="360" t="s">
        <v>648</v>
      </c>
      <c r="K88" s="360" t="s">
        <v>871</v>
      </c>
      <c r="L88" s="360" t="s">
        <v>868</v>
      </c>
      <c r="M88" s="473">
        <f>_xlfn.XLOOKUP(I88,'Utslippsfaktorer Transport'!$A$10:$A$19,'Utslippsfaktorer Transport'!$B$10:$B$19)*_xlfn.XLOOKUP(J88,'Utslippsfaktorer Transport'!$A$34:$A$52,'Utslippsfaktorer Transport'!$E$34:$E$52)</f>
        <v>64.47</v>
      </c>
      <c r="N88" s="442">
        <f>_xlfn.XLOOKUP(K88,'Utslippsfaktorer Transport'!$A$27:$A$29,'Utslippsfaktorer Transport'!$F$27:$F$29)</f>
        <v>17.5</v>
      </c>
      <c r="O88" s="902">
        <f>_xlfn.XLOOKUP(L88,'Utslippsfaktorer Transport'!$A$23:$A$25,'Utslippsfaktorer Transport'!$C$23:$C$25)</f>
        <v>0</v>
      </c>
      <c r="AG88" s="868" t="str">
        <f t="shared" ref="AG88:AG96" si="0">C88</f>
        <v>Skriv navn på vare her</v>
      </c>
      <c r="AH88" s="442">
        <f>E88*F88*_xlfn.XLOOKUP(I88,'Utslippsfaktorer Transport'!$A$9:$A$19,'Utslippsfaktorer Transport'!$B$9:$B$19)*_xlfn.XLOOKUP(J88,'Utslippsfaktorer Transport'!$A$33:$A$52,'Utslippsfaktorer Transport'!$B$33:$B$52)/1000/D88</f>
        <v>0</v>
      </c>
      <c r="AI88" s="442">
        <f>E88*F88*_xlfn.XLOOKUP(I88,'Utslippsfaktorer Transport'!$A$9:$A$19,'Utslippsfaktorer Transport'!$B$9:$B$19)*_xlfn.XLOOKUP(J88,'Utslippsfaktorer Transport'!$A$33:$A$52,'Utslippsfaktorer Transport'!$C$33:$C$52)/1000/D88</f>
        <v>0</v>
      </c>
      <c r="AJ88" s="442">
        <f>E88*F88*_xlfn.XLOOKUP(I88,'Utslippsfaktorer Transport'!$A$9:$A$19,'Utslippsfaktorer Transport'!$B$9:$B$19)*_xlfn.XLOOKUP(J88,'Utslippsfaktorer Transport'!$A$33:$A$52,'Utslippsfaktorer Transport'!$D$33:$D$52)/1000/D88</f>
        <v>0</v>
      </c>
      <c r="AK88" s="904">
        <f>E88*G88*_xlfn.XLOOKUP(K88,'Utslippsfaktorer Transport'!$A$26:$A$29,'Utslippsfaktorer Transport'!$F$26:$F$29)/1000/D88</f>
        <v>0</v>
      </c>
      <c r="AL88" s="904">
        <f>E88*G88*_xlfn.XLOOKUP(K88,'Utslippsfaktorer Transport'!$A$26:$A$29,'Utslippsfaktorer Transport'!$G$26:$G$29)/1000/D88</f>
        <v>0</v>
      </c>
      <c r="AM88" s="904">
        <f>E88*G88*_xlfn.XLOOKUP(K88,'Utslippsfaktorer Transport'!$A$26:$A$29,'Utslippsfaktorer Transport'!$H$26:$H$29)/1000/D88</f>
        <v>0</v>
      </c>
      <c r="AN88" s="442">
        <f>H88*E88*_xlfn.XLOOKUP(L88,'Utslippsfaktorer Transport'!$A$23:$A$25,'Utslippsfaktorer Transport'!$C$23:$C$25)/1000/D88</f>
        <v>0</v>
      </c>
      <c r="AO88" s="442">
        <f>H88*E88*_xlfn.XLOOKUP(L88,'Utslippsfaktorer Transport'!$A$23:$A$25,'Utslippsfaktorer Transport'!$D$23:$D$25)/1000/D88</f>
        <v>0</v>
      </c>
      <c r="AP88" s="902">
        <f>H88*E88*_xlfn.XLOOKUP(L88,'Utslippsfaktorer Transport'!$A$23:$A$25,'Utslippsfaktorer Transport'!$E$23:$E$25)/1000/D88</f>
        <v>0</v>
      </c>
    </row>
    <row r="89" spans="1:42" outlineLevel="1" x14ac:dyDescent="0.3">
      <c r="A89" s="483">
        <v>0</v>
      </c>
      <c r="B89" s="483"/>
      <c r="C89" s="483" t="s">
        <v>691</v>
      </c>
      <c r="D89" s="688">
        <v>1</v>
      </c>
      <c r="E89" s="315">
        <v>0</v>
      </c>
      <c r="F89" s="315">
        <v>100</v>
      </c>
      <c r="G89" s="315">
        <v>0</v>
      </c>
      <c r="H89" s="340">
        <v>0</v>
      </c>
      <c r="I89" s="483" t="s">
        <v>865</v>
      </c>
      <c r="J89" s="360" t="s">
        <v>648</v>
      </c>
      <c r="K89" s="360" t="s">
        <v>871</v>
      </c>
      <c r="L89" s="360" t="s">
        <v>868</v>
      </c>
      <c r="M89" s="473">
        <f>_xlfn.XLOOKUP(I89,'Utslippsfaktorer Transport'!$A$10:$A$19,'Utslippsfaktorer Transport'!$B$10:$B$19)*_xlfn.XLOOKUP(J89,'Utslippsfaktorer Transport'!$A$34:$A$52,'Utslippsfaktorer Transport'!$E$34:$E$52)</f>
        <v>64.47</v>
      </c>
      <c r="N89" s="442">
        <f>_xlfn.XLOOKUP(K89,'Utslippsfaktorer Transport'!$A$27:$A$29,'Utslippsfaktorer Transport'!$F$27:$F$29)</f>
        <v>17.5</v>
      </c>
      <c r="O89" s="902">
        <f>_xlfn.XLOOKUP(L89,'Utslippsfaktorer Transport'!$A$23:$A$25,'Utslippsfaktorer Transport'!$C$23:$C$25)</f>
        <v>0</v>
      </c>
      <c r="AG89" s="868" t="str">
        <f t="shared" si="0"/>
        <v>Skriv navn på vare her</v>
      </c>
      <c r="AH89" s="442">
        <f>E89*F89*_xlfn.XLOOKUP(I89,'Utslippsfaktorer Transport'!$A$9:$A$19,'Utslippsfaktorer Transport'!$B$9:$B$19)*_xlfn.XLOOKUP(J89,'Utslippsfaktorer Transport'!$A$33:$A$52,'Utslippsfaktorer Transport'!$B$33:$B$52)/1000/D89</f>
        <v>0</v>
      </c>
      <c r="AI89" s="442">
        <f>E89*F89*_xlfn.XLOOKUP(I89,'Utslippsfaktorer Transport'!$A$9:$A$19,'Utslippsfaktorer Transport'!$B$9:$B$19)*_xlfn.XLOOKUP(J89,'Utslippsfaktorer Transport'!$A$33:$A$52,'Utslippsfaktorer Transport'!$C$33:$C$52)/1000/D89</f>
        <v>0</v>
      </c>
      <c r="AJ89" s="442">
        <f>E89*F89*_xlfn.XLOOKUP(I89,'Utslippsfaktorer Transport'!$A$9:$A$19,'Utslippsfaktorer Transport'!$B$9:$B$19)*_xlfn.XLOOKUP(J89,'Utslippsfaktorer Transport'!$A$33:$A$52,'Utslippsfaktorer Transport'!$D$33:$D$52)/1000/D89</f>
        <v>0</v>
      </c>
      <c r="AK89" s="904">
        <f>E89*G89*_xlfn.XLOOKUP(K89,'Utslippsfaktorer Transport'!$A$26:$A$29,'Utslippsfaktorer Transport'!$F$26:$F$29)/1000/D89</f>
        <v>0</v>
      </c>
      <c r="AL89" s="904">
        <f>E89*G89*_xlfn.XLOOKUP(K89,'Utslippsfaktorer Transport'!$A$26:$A$29,'Utslippsfaktorer Transport'!$G$26:$G$29)/1000/D89</f>
        <v>0</v>
      </c>
      <c r="AM89" s="904">
        <f>E89*G89*_xlfn.XLOOKUP(K89,'Utslippsfaktorer Transport'!$A$26:$A$29,'Utslippsfaktorer Transport'!$H$26:$H$29)/1000/D89</f>
        <v>0</v>
      </c>
      <c r="AN89" s="442">
        <f>H89*E89*_xlfn.XLOOKUP(L89,'Utslippsfaktorer Transport'!$A$23:$A$25,'Utslippsfaktorer Transport'!$C$23:$C$25)/1000/D89</f>
        <v>0</v>
      </c>
      <c r="AO89" s="442">
        <f>H89*E89*_xlfn.XLOOKUP(L89,'Utslippsfaktorer Transport'!$A$23:$A$25,'Utslippsfaktorer Transport'!$D$23:$D$25)/1000/D89</f>
        <v>0</v>
      </c>
      <c r="AP89" s="902">
        <f>H89*E89*_xlfn.XLOOKUP(L89,'Utslippsfaktorer Transport'!$A$23:$A$25,'Utslippsfaktorer Transport'!$E$23:$E$25)/1000/D89</f>
        <v>0</v>
      </c>
    </row>
    <row r="90" spans="1:42" outlineLevel="1" x14ac:dyDescent="0.3">
      <c r="A90" s="483">
        <v>0</v>
      </c>
      <c r="B90" s="483"/>
      <c r="C90" s="483" t="s">
        <v>691</v>
      </c>
      <c r="D90" s="688">
        <v>1</v>
      </c>
      <c r="E90" s="315">
        <v>0</v>
      </c>
      <c r="F90" s="315">
        <v>100</v>
      </c>
      <c r="G90" s="315">
        <v>0</v>
      </c>
      <c r="H90" s="340">
        <v>0</v>
      </c>
      <c r="I90" s="483" t="s">
        <v>865</v>
      </c>
      <c r="J90" s="360" t="s">
        <v>648</v>
      </c>
      <c r="K90" s="360" t="s">
        <v>871</v>
      </c>
      <c r="L90" s="360" t="s">
        <v>868</v>
      </c>
      <c r="M90" s="473">
        <f>_xlfn.XLOOKUP(I90,'Utslippsfaktorer Transport'!$A$10:$A$19,'Utslippsfaktorer Transport'!$B$10:$B$19)*_xlfn.XLOOKUP(J90,'Utslippsfaktorer Transport'!$A$34:$A$52,'Utslippsfaktorer Transport'!$E$34:$E$52)</f>
        <v>64.47</v>
      </c>
      <c r="N90" s="442">
        <f>_xlfn.XLOOKUP(K90,'Utslippsfaktorer Transport'!$A$27:$A$29,'Utslippsfaktorer Transport'!$F$27:$F$29)</f>
        <v>17.5</v>
      </c>
      <c r="O90" s="902">
        <f>_xlfn.XLOOKUP(L90,'Utslippsfaktorer Transport'!$A$23:$A$25,'Utslippsfaktorer Transport'!$C$23:$C$25)</f>
        <v>0</v>
      </c>
      <c r="AG90" s="868" t="str">
        <f t="shared" si="0"/>
        <v>Skriv navn på vare her</v>
      </c>
      <c r="AH90" s="442">
        <f>E90*F90*_xlfn.XLOOKUP(I90,'Utslippsfaktorer Transport'!$A$9:$A$19,'Utslippsfaktorer Transport'!$B$9:$B$19)*_xlfn.XLOOKUP(J90,'Utslippsfaktorer Transport'!$A$33:$A$52,'Utslippsfaktorer Transport'!$B$33:$B$52)/1000/D90</f>
        <v>0</v>
      </c>
      <c r="AI90" s="442">
        <f>E90*F90*_xlfn.XLOOKUP(I90,'Utslippsfaktorer Transport'!$A$9:$A$19,'Utslippsfaktorer Transport'!$B$9:$B$19)*_xlfn.XLOOKUP(J90,'Utslippsfaktorer Transport'!$A$33:$A$52,'Utslippsfaktorer Transport'!$C$33:$C$52)/1000/D90</f>
        <v>0</v>
      </c>
      <c r="AJ90" s="442">
        <f>E90*F90*_xlfn.XLOOKUP(I90,'Utslippsfaktorer Transport'!$A$9:$A$19,'Utslippsfaktorer Transport'!$B$9:$B$19)*_xlfn.XLOOKUP(J90,'Utslippsfaktorer Transport'!$A$33:$A$52,'Utslippsfaktorer Transport'!$D$33:$D$52)/1000/D90</f>
        <v>0</v>
      </c>
      <c r="AK90" s="904">
        <f>E90*G90*_xlfn.XLOOKUP(K90,'Utslippsfaktorer Transport'!$A$26:$A$29,'Utslippsfaktorer Transport'!$F$26:$F$29)/1000/D90</f>
        <v>0</v>
      </c>
      <c r="AL90" s="904">
        <f>E90*G90*_xlfn.XLOOKUP(K90,'Utslippsfaktorer Transport'!$A$26:$A$29,'Utslippsfaktorer Transport'!$G$26:$G$29)/1000/D90</f>
        <v>0</v>
      </c>
      <c r="AM90" s="904">
        <f>E90*G90*_xlfn.XLOOKUP(K90,'Utslippsfaktorer Transport'!$A$26:$A$29,'Utslippsfaktorer Transport'!$H$26:$H$29)/1000/D90</f>
        <v>0</v>
      </c>
      <c r="AN90" s="442">
        <f>H90*E90*_xlfn.XLOOKUP(L90,'Utslippsfaktorer Transport'!$A$23:$A$25,'Utslippsfaktorer Transport'!$C$23:$C$25)/1000/D90</f>
        <v>0</v>
      </c>
      <c r="AO90" s="442">
        <f>H90*E90*_xlfn.XLOOKUP(L90,'Utslippsfaktorer Transport'!$A$23:$A$25,'Utslippsfaktorer Transport'!$D$23:$D$25)/1000/D90</f>
        <v>0</v>
      </c>
      <c r="AP90" s="902">
        <f>H90*E90*_xlfn.XLOOKUP(L90,'Utslippsfaktorer Transport'!$A$23:$A$25,'Utslippsfaktorer Transport'!$E$23:$E$25)/1000/D90</f>
        <v>0</v>
      </c>
    </row>
    <row r="91" spans="1:42" outlineLevel="1" x14ac:dyDescent="0.3">
      <c r="A91" s="483">
        <v>0</v>
      </c>
      <c r="B91" s="483"/>
      <c r="C91" s="483" t="s">
        <v>691</v>
      </c>
      <c r="D91" s="688">
        <v>1</v>
      </c>
      <c r="E91" s="315">
        <v>0</v>
      </c>
      <c r="F91" s="315">
        <v>100</v>
      </c>
      <c r="G91" s="315">
        <v>0</v>
      </c>
      <c r="H91" s="340">
        <v>0</v>
      </c>
      <c r="I91" s="483" t="s">
        <v>865</v>
      </c>
      <c r="J91" s="360" t="s">
        <v>648</v>
      </c>
      <c r="K91" s="360" t="s">
        <v>871</v>
      </c>
      <c r="L91" s="360" t="s">
        <v>868</v>
      </c>
      <c r="M91" s="473">
        <f>_xlfn.XLOOKUP(I91,'Utslippsfaktorer Transport'!$A$10:$A$19,'Utslippsfaktorer Transport'!$B$10:$B$19)*_xlfn.XLOOKUP(J91,'Utslippsfaktorer Transport'!$A$34:$A$52,'Utslippsfaktorer Transport'!$E$34:$E$52)</f>
        <v>64.47</v>
      </c>
      <c r="N91" s="442">
        <f>_xlfn.XLOOKUP(K91,'Utslippsfaktorer Transport'!$A$27:$A$29,'Utslippsfaktorer Transport'!$F$27:$F$29)</f>
        <v>17.5</v>
      </c>
      <c r="O91" s="902">
        <f>_xlfn.XLOOKUP(L91,'Utslippsfaktorer Transport'!$A$23:$A$25,'Utslippsfaktorer Transport'!$C$23:$C$25)</f>
        <v>0</v>
      </c>
      <c r="AG91" s="868" t="str">
        <f t="shared" si="0"/>
        <v>Skriv navn på vare her</v>
      </c>
      <c r="AH91" s="442">
        <f>E91*F91*_xlfn.XLOOKUP(I91,'Utslippsfaktorer Transport'!$A$9:$A$19,'Utslippsfaktorer Transport'!$B$9:$B$19)*_xlfn.XLOOKUP(J91,'Utslippsfaktorer Transport'!$A$33:$A$52,'Utslippsfaktorer Transport'!$B$33:$B$52)/1000/D91</f>
        <v>0</v>
      </c>
      <c r="AI91" s="442">
        <f>E91*F91*_xlfn.XLOOKUP(I91,'Utslippsfaktorer Transport'!$A$9:$A$19,'Utslippsfaktorer Transport'!$B$9:$B$19)*_xlfn.XLOOKUP(J91,'Utslippsfaktorer Transport'!$A$33:$A$52,'Utslippsfaktorer Transport'!$C$33:$C$52)/1000/D91</f>
        <v>0</v>
      </c>
      <c r="AJ91" s="442">
        <f>E91*F91*_xlfn.XLOOKUP(I91,'Utslippsfaktorer Transport'!$A$9:$A$19,'Utslippsfaktorer Transport'!$B$9:$B$19)*_xlfn.XLOOKUP(J91,'Utslippsfaktorer Transport'!$A$33:$A$52,'Utslippsfaktorer Transport'!$D$33:$D$52)/1000/D91</f>
        <v>0</v>
      </c>
      <c r="AK91" s="904">
        <f>E91*G91*_xlfn.XLOOKUP(K91,'Utslippsfaktorer Transport'!$A$26:$A$29,'Utslippsfaktorer Transport'!$F$26:$F$29)/1000/D91</f>
        <v>0</v>
      </c>
      <c r="AL91" s="904">
        <f>E91*G91*_xlfn.XLOOKUP(K91,'Utslippsfaktorer Transport'!$A$26:$A$29,'Utslippsfaktorer Transport'!$G$26:$G$29)/1000/D91</f>
        <v>0</v>
      </c>
      <c r="AM91" s="904">
        <f>E91*G91*_xlfn.XLOOKUP(K91,'Utslippsfaktorer Transport'!$A$26:$A$29,'Utslippsfaktorer Transport'!$H$26:$H$29)/1000/D91</f>
        <v>0</v>
      </c>
      <c r="AN91" s="442">
        <f>H91*E91*_xlfn.XLOOKUP(L91,'Utslippsfaktorer Transport'!$A$23:$A$25,'Utslippsfaktorer Transport'!$C$23:$C$25)/1000/D91</f>
        <v>0</v>
      </c>
      <c r="AO91" s="442">
        <f>H91*E91*_xlfn.XLOOKUP(L91,'Utslippsfaktorer Transport'!$A$23:$A$25,'Utslippsfaktorer Transport'!$D$23:$D$25)/1000/D91</f>
        <v>0</v>
      </c>
      <c r="AP91" s="902">
        <f>H91*E91*_xlfn.XLOOKUP(L91,'Utslippsfaktorer Transport'!$A$23:$A$25,'Utslippsfaktorer Transport'!$E$23:$E$25)/1000/D91</f>
        <v>0</v>
      </c>
    </row>
    <row r="92" spans="1:42" outlineLevel="1" x14ac:dyDescent="0.3">
      <c r="A92" s="483">
        <v>0</v>
      </c>
      <c r="B92" s="483"/>
      <c r="C92" s="483" t="s">
        <v>691</v>
      </c>
      <c r="D92" s="688">
        <v>1</v>
      </c>
      <c r="E92" s="315">
        <v>0</v>
      </c>
      <c r="F92" s="315">
        <v>100</v>
      </c>
      <c r="G92" s="315">
        <v>0</v>
      </c>
      <c r="H92" s="340">
        <v>0</v>
      </c>
      <c r="I92" s="483" t="s">
        <v>865</v>
      </c>
      <c r="J92" s="360" t="s">
        <v>648</v>
      </c>
      <c r="K92" s="360" t="s">
        <v>871</v>
      </c>
      <c r="L92" s="360" t="s">
        <v>868</v>
      </c>
      <c r="M92" s="473">
        <f>_xlfn.XLOOKUP(I92,'Utslippsfaktorer Transport'!$A$10:$A$19,'Utslippsfaktorer Transport'!$B$10:$B$19)*_xlfn.XLOOKUP(J92,'Utslippsfaktorer Transport'!$A$34:$A$52,'Utslippsfaktorer Transport'!$E$34:$E$52)</f>
        <v>64.47</v>
      </c>
      <c r="N92" s="442">
        <f>_xlfn.XLOOKUP(K92,'Utslippsfaktorer Transport'!$A$27:$A$29,'Utslippsfaktorer Transport'!$F$27:$F$29)</f>
        <v>17.5</v>
      </c>
      <c r="O92" s="902">
        <f>_xlfn.XLOOKUP(L92,'Utslippsfaktorer Transport'!$A$23:$A$25,'Utslippsfaktorer Transport'!$C$23:$C$25)</f>
        <v>0</v>
      </c>
      <c r="AG92" s="868" t="str">
        <f t="shared" si="0"/>
        <v>Skriv navn på vare her</v>
      </c>
      <c r="AH92" s="442">
        <f>E92*F92*_xlfn.XLOOKUP(I92,'Utslippsfaktorer Transport'!$A$9:$A$19,'Utslippsfaktorer Transport'!$B$9:$B$19)*_xlfn.XLOOKUP(J92,'Utslippsfaktorer Transport'!$A$33:$A$52,'Utslippsfaktorer Transport'!$B$33:$B$52)/1000/D92</f>
        <v>0</v>
      </c>
      <c r="AI92" s="442">
        <f>E92*F92*_xlfn.XLOOKUP(I92,'Utslippsfaktorer Transport'!$A$9:$A$19,'Utslippsfaktorer Transport'!$B$9:$B$19)*_xlfn.XLOOKUP(J92,'Utslippsfaktorer Transport'!$A$33:$A$52,'Utslippsfaktorer Transport'!$C$33:$C$52)/1000/D92</f>
        <v>0</v>
      </c>
      <c r="AJ92" s="442">
        <f>E92*F92*_xlfn.XLOOKUP(I92,'Utslippsfaktorer Transport'!$A$9:$A$19,'Utslippsfaktorer Transport'!$B$9:$B$19)*_xlfn.XLOOKUP(J92,'Utslippsfaktorer Transport'!$A$33:$A$52,'Utslippsfaktorer Transport'!$D$33:$D$52)/1000/D92</f>
        <v>0</v>
      </c>
      <c r="AK92" s="904">
        <f>E92*G92*_xlfn.XLOOKUP(K92,'Utslippsfaktorer Transport'!$A$26:$A$29,'Utslippsfaktorer Transport'!$F$26:$F$29)/1000/D92</f>
        <v>0</v>
      </c>
      <c r="AL92" s="904">
        <f>E92*G92*_xlfn.XLOOKUP(K92,'Utslippsfaktorer Transport'!$A$26:$A$29,'Utslippsfaktorer Transport'!$G$26:$G$29)/1000/D92</f>
        <v>0</v>
      </c>
      <c r="AM92" s="904">
        <f>E92*G92*_xlfn.XLOOKUP(K92,'Utslippsfaktorer Transport'!$A$26:$A$29,'Utslippsfaktorer Transport'!$H$26:$H$29)/1000/D92</f>
        <v>0</v>
      </c>
      <c r="AN92" s="442">
        <f>H92*E92*_xlfn.XLOOKUP(L92,'Utslippsfaktorer Transport'!$A$23:$A$25,'Utslippsfaktorer Transport'!$C$23:$C$25)/1000/D92</f>
        <v>0</v>
      </c>
      <c r="AO92" s="442">
        <f>H92*E92*_xlfn.XLOOKUP(L92,'Utslippsfaktorer Transport'!$A$23:$A$25,'Utslippsfaktorer Transport'!$D$23:$D$25)/1000/D92</f>
        <v>0</v>
      </c>
      <c r="AP92" s="902">
        <f>H92*E92*_xlfn.XLOOKUP(L92,'Utslippsfaktorer Transport'!$A$23:$A$25,'Utslippsfaktorer Transport'!$E$23:$E$25)/1000/D92</f>
        <v>0</v>
      </c>
    </row>
    <row r="93" spans="1:42" outlineLevel="1" x14ac:dyDescent="0.3">
      <c r="A93" s="483">
        <v>0</v>
      </c>
      <c r="B93" s="483"/>
      <c r="C93" s="483" t="s">
        <v>691</v>
      </c>
      <c r="D93" s="688">
        <v>1</v>
      </c>
      <c r="E93" s="315">
        <v>0</v>
      </c>
      <c r="F93" s="315">
        <v>100</v>
      </c>
      <c r="G93" s="315">
        <v>0</v>
      </c>
      <c r="H93" s="340">
        <v>0</v>
      </c>
      <c r="I93" s="483" t="s">
        <v>865</v>
      </c>
      <c r="J93" s="360" t="s">
        <v>648</v>
      </c>
      <c r="K93" s="360" t="s">
        <v>871</v>
      </c>
      <c r="L93" s="360" t="s">
        <v>868</v>
      </c>
      <c r="M93" s="473">
        <f>_xlfn.XLOOKUP(I93,'Utslippsfaktorer Transport'!$A$10:$A$19,'Utslippsfaktorer Transport'!$B$10:$B$19)*_xlfn.XLOOKUP(J93,'Utslippsfaktorer Transport'!$A$34:$A$52,'Utslippsfaktorer Transport'!$E$34:$E$52)</f>
        <v>64.47</v>
      </c>
      <c r="N93" s="442">
        <f>_xlfn.XLOOKUP(K93,'Utslippsfaktorer Transport'!$A$27:$A$29,'Utslippsfaktorer Transport'!$F$27:$F$29)</f>
        <v>17.5</v>
      </c>
      <c r="O93" s="902">
        <f>_xlfn.XLOOKUP(L93,'Utslippsfaktorer Transport'!$A$23:$A$25,'Utslippsfaktorer Transport'!$C$23:$C$25)</f>
        <v>0</v>
      </c>
      <c r="AG93" s="868" t="str">
        <f t="shared" si="0"/>
        <v>Skriv navn på vare her</v>
      </c>
      <c r="AH93" s="442">
        <f>E93*F93*_xlfn.XLOOKUP(I93,'Utslippsfaktorer Transport'!$A$9:$A$19,'Utslippsfaktorer Transport'!$B$9:$B$19)*_xlfn.XLOOKUP(J93,'Utslippsfaktorer Transport'!$A$33:$A$52,'Utslippsfaktorer Transport'!$B$33:$B$52)/1000/D93</f>
        <v>0</v>
      </c>
      <c r="AI93" s="442">
        <f>E93*F93*_xlfn.XLOOKUP(I93,'Utslippsfaktorer Transport'!$A$9:$A$19,'Utslippsfaktorer Transport'!$B$9:$B$19)*_xlfn.XLOOKUP(J93,'Utslippsfaktorer Transport'!$A$33:$A$52,'Utslippsfaktorer Transport'!$C$33:$C$52)/1000/D93</f>
        <v>0</v>
      </c>
      <c r="AJ93" s="442">
        <f>E93*F93*_xlfn.XLOOKUP(I93,'Utslippsfaktorer Transport'!$A$9:$A$19,'Utslippsfaktorer Transport'!$B$9:$B$19)*_xlfn.XLOOKUP(J93,'Utslippsfaktorer Transport'!$A$33:$A$52,'Utslippsfaktorer Transport'!$D$33:$D$52)/1000/D93</f>
        <v>0</v>
      </c>
      <c r="AK93" s="904">
        <f>E93*G93*_xlfn.XLOOKUP(K93,'Utslippsfaktorer Transport'!$A$26:$A$29,'Utslippsfaktorer Transport'!$F$26:$F$29)/1000/D93</f>
        <v>0</v>
      </c>
      <c r="AL93" s="904">
        <f>E93*G93*_xlfn.XLOOKUP(K93,'Utslippsfaktorer Transport'!$A$26:$A$29,'Utslippsfaktorer Transport'!$G$26:$G$29)/1000/D93</f>
        <v>0</v>
      </c>
      <c r="AM93" s="904">
        <f>E93*G93*_xlfn.XLOOKUP(K93,'Utslippsfaktorer Transport'!$A$26:$A$29,'Utslippsfaktorer Transport'!$H$26:$H$29)/1000/D93</f>
        <v>0</v>
      </c>
      <c r="AN93" s="442">
        <f>H93*E93*_xlfn.XLOOKUP(L93,'Utslippsfaktorer Transport'!$A$23:$A$25,'Utslippsfaktorer Transport'!$C$23:$C$25)/1000/D93</f>
        <v>0</v>
      </c>
      <c r="AO93" s="442">
        <f>H93*E93*_xlfn.XLOOKUP(L93,'Utslippsfaktorer Transport'!$A$23:$A$25,'Utslippsfaktorer Transport'!$D$23:$D$25)/1000/D93</f>
        <v>0</v>
      </c>
      <c r="AP93" s="902">
        <f>H93*E93*_xlfn.XLOOKUP(L93,'Utslippsfaktorer Transport'!$A$23:$A$25,'Utslippsfaktorer Transport'!$E$23:$E$25)/1000/D93</f>
        <v>0</v>
      </c>
    </row>
    <row r="94" spans="1:42" outlineLevel="1" x14ac:dyDescent="0.3">
      <c r="A94" s="483">
        <v>0</v>
      </c>
      <c r="B94" s="483"/>
      <c r="C94" s="483" t="s">
        <v>691</v>
      </c>
      <c r="D94" s="688">
        <v>1</v>
      </c>
      <c r="E94" s="315">
        <v>0</v>
      </c>
      <c r="F94" s="315">
        <v>100</v>
      </c>
      <c r="G94" s="315">
        <v>0</v>
      </c>
      <c r="H94" s="340">
        <v>0</v>
      </c>
      <c r="I94" s="483" t="s">
        <v>865</v>
      </c>
      <c r="J94" s="360" t="s">
        <v>648</v>
      </c>
      <c r="K94" s="360" t="s">
        <v>871</v>
      </c>
      <c r="L94" s="360" t="s">
        <v>868</v>
      </c>
      <c r="M94" s="473">
        <f>_xlfn.XLOOKUP(I94,'Utslippsfaktorer Transport'!$A$10:$A$19,'Utslippsfaktorer Transport'!$B$10:$B$19)*_xlfn.XLOOKUP(J94,'Utslippsfaktorer Transport'!$A$34:$A$52,'Utslippsfaktorer Transport'!$E$34:$E$52)</f>
        <v>64.47</v>
      </c>
      <c r="N94" s="442">
        <f>_xlfn.XLOOKUP(K94,'Utslippsfaktorer Transport'!$A$27:$A$29,'Utslippsfaktorer Transport'!$F$27:$F$29)</f>
        <v>17.5</v>
      </c>
      <c r="O94" s="902">
        <f>_xlfn.XLOOKUP(L94,'Utslippsfaktorer Transport'!$A$23:$A$25,'Utslippsfaktorer Transport'!$C$23:$C$25)</f>
        <v>0</v>
      </c>
      <c r="AG94" s="868" t="str">
        <f t="shared" si="0"/>
        <v>Skriv navn på vare her</v>
      </c>
      <c r="AH94" s="442">
        <f>E94*F94*_xlfn.XLOOKUP(I94,'Utslippsfaktorer Transport'!$A$9:$A$19,'Utslippsfaktorer Transport'!$B$9:$B$19)*_xlfn.XLOOKUP(J94,'Utslippsfaktorer Transport'!$A$33:$A$52,'Utslippsfaktorer Transport'!$B$33:$B$52)/1000/D94</f>
        <v>0</v>
      </c>
      <c r="AI94" s="442">
        <f>E94*F94*_xlfn.XLOOKUP(I94,'Utslippsfaktorer Transport'!$A$9:$A$19,'Utslippsfaktorer Transport'!$B$9:$B$19)*_xlfn.XLOOKUP(J94,'Utslippsfaktorer Transport'!$A$33:$A$52,'Utslippsfaktorer Transport'!$C$33:$C$52)/1000/D94</f>
        <v>0</v>
      </c>
      <c r="AJ94" s="442">
        <f>E94*F94*_xlfn.XLOOKUP(I94,'Utslippsfaktorer Transport'!$A$9:$A$19,'Utslippsfaktorer Transport'!$B$9:$B$19)*_xlfn.XLOOKUP(J94,'Utslippsfaktorer Transport'!$A$33:$A$52,'Utslippsfaktorer Transport'!$D$33:$D$52)/1000/D94</f>
        <v>0</v>
      </c>
      <c r="AK94" s="904">
        <f>E94*G94*_xlfn.XLOOKUP(K94,'Utslippsfaktorer Transport'!$A$26:$A$29,'Utslippsfaktorer Transport'!$F$26:$F$29)/1000/D94</f>
        <v>0</v>
      </c>
      <c r="AL94" s="904">
        <f>E94*G94*_xlfn.XLOOKUP(K94,'Utslippsfaktorer Transport'!$A$26:$A$29,'Utslippsfaktorer Transport'!$G$26:$G$29)/1000/D94</f>
        <v>0</v>
      </c>
      <c r="AM94" s="904">
        <f>E94*G94*_xlfn.XLOOKUP(K94,'Utslippsfaktorer Transport'!$A$26:$A$29,'Utslippsfaktorer Transport'!$H$26:$H$29)/1000/D94</f>
        <v>0</v>
      </c>
      <c r="AN94" s="442">
        <f>H94*E94*_xlfn.XLOOKUP(L94,'Utslippsfaktorer Transport'!$A$23:$A$25,'Utslippsfaktorer Transport'!$C$23:$C$25)/1000/D94</f>
        <v>0</v>
      </c>
      <c r="AO94" s="442">
        <f>H94*E94*_xlfn.XLOOKUP(L94,'Utslippsfaktorer Transport'!$A$23:$A$25,'Utslippsfaktorer Transport'!$D$23:$D$25)/1000/D94</f>
        <v>0</v>
      </c>
      <c r="AP94" s="902">
        <f>H94*E94*_xlfn.XLOOKUP(L94,'Utslippsfaktorer Transport'!$A$23:$A$25,'Utslippsfaktorer Transport'!$E$23:$E$25)/1000/D94</f>
        <v>0</v>
      </c>
    </row>
    <row r="95" spans="1:42" outlineLevel="1" x14ac:dyDescent="0.3">
      <c r="A95" s="483">
        <v>0</v>
      </c>
      <c r="B95" s="483"/>
      <c r="C95" s="483" t="s">
        <v>691</v>
      </c>
      <c r="D95" s="688">
        <v>1</v>
      </c>
      <c r="E95" s="315">
        <v>0</v>
      </c>
      <c r="F95" s="315">
        <v>100</v>
      </c>
      <c r="G95" s="315">
        <v>0</v>
      </c>
      <c r="H95" s="340">
        <v>0</v>
      </c>
      <c r="I95" s="483" t="s">
        <v>865</v>
      </c>
      <c r="J95" s="360" t="s">
        <v>648</v>
      </c>
      <c r="K95" s="360" t="s">
        <v>871</v>
      </c>
      <c r="L95" s="360" t="s">
        <v>868</v>
      </c>
      <c r="M95" s="473">
        <f>_xlfn.XLOOKUP(I95,'Utslippsfaktorer Transport'!$A$10:$A$19,'Utslippsfaktorer Transport'!$B$10:$B$19)*_xlfn.XLOOKUP(J95,'Utslippsfaktorer Transport'!$A$34:$A$52,'Utslippsfaktorer Transport'!$E$34:$E$52)</f>
        <v>64.47</v>
      </c>
      <c r="N95" s="442">
        <f>_xlfn.XLOOKUP(K95,'Utslippsfaktorer Transport'!$A$27:$A$29,'Utslippsfaktorer Transport'!$F$27:$F$29)</f>
        <v>17.5</v>
      </c>
      <c r="O95" s="902">
        <f>_xlfn.XLOOKUP(L95,'Utslippsfaktorer Transport'!$A$23:$A$25,'Utslippsfaktorer Transport'!$C$23:$C$25)</f>
        <v>0</v>
      </c>
      <c r="AG95" s="868" t="str">
        <f t="shared" si="0"/>
        <v>Skriv navn på vare her</v>
      </c>
      <c r="AH95" s="442">
        <f>E95*F95*_xlfn.XLOOKUP(I95,'Utslippsfaktorer Transport'!$A$9:$A$19,'Utslippsfaktorer Transport'!$B$9:$B$19)*_xlfn.XLOOKUP(J95,'Utslippsfaktorer Transport'!$A$33:$A$52,'Utslippsfaktorer Transport'!$B$33:$B$52)/1000/D95</f>
        <v>0</v>
      </c>
      <c r="AI95" s="442">
        <f>E95*F95*_xlfn.XLOOKUP(I95,'Utslippsfaktorer Transport'!$A$9:$A$19,'Utslippsfaktorer Transport'!$B$9:$B$19)*_xlfn.XLOOKUP(J95,'Utslippsfaktorer Transport'!$A$33:$A$52,'Utslippsfaktorer Transport'!$C$33:$C$52)/1000/D95</f>
        <v>0</v>
      </c>
      <c r="AJ95" s="442">
        <f>E95*F95*_xlfn.XLOOKUP(I95,'Utslippsfaktorer Transport'!$A$9:$A$19,'Utslippsfaktorer Transport'!$B$9:$B$19)*_xlfn.XLOOKUP(J95,'Utslippsfaktorer Transport'!$A$33:$A$52,'Utslippsfaktorer Transport'!$D$33:$D$52)/1000/D95</f>
        <v>0</v>
      </c>
      <c r="AK95" s="904">
        <f>E95*G95*_xlfn.XLOOKUP(K95,'Utslippsfaktorer Transport'!$A$26:$A$29,'Utslippsfaktorer Transport'!$F$26:$F$29)/1000/D95</f>
        <v>0</v>
      </c>
      <c r="AL95" s="904">
        <f>E95*G95*_xlfn.XLOOKUP(K95,'Utslippsfaktorer Transport'!$A$26:$A$29,'Utslippsfaktorer Transport'!$G$26:$G$29)/1000/D95</f>
        <v>0</v>
      </c>
      <c r="AM95" s="904">
        <f>E95*G95*_xlfn.XLOOKUP(K95,'Utslippsfaktorer Transport'!$A$26:$A$29,'Utslippsfaktorer Transport'!$H$26:$H$29)/1000/D95</f>
        <v>0</v>
      </c>
      <c r="AN95" s="442">
        <f>H95*E95*_xlfn.XLOOKUP(L95,'Utslippsfaktorer Transport'!$A$23:$A$25,'Utslippsfaktorer Transport'!$C$23:$C$25)/1000/D95</f>
        <v>0</v>
      </c>
      <c r="AO95" s="442">
        <f>H95*E95*_xlfn.XLOOKUP(L95,'Utslippsfaktorer Transport'!$A$23:$A$25,'Utslippsfaktorer Transport'!$D$23:$D$25)/1000/D95</f>
        <v>0</v>
      </c>
      <c r="AP95" s="902">
        <f>H95*E95*_xlfn.XLOOKUP(L95,'Utslippsfaktorer Transport'!$A$23:$A$25,'Utslippsfaktorer Transport'!$E$23:$E$25)/1000/D95</f>
        <v>0</v>
      </c>
    </row>
    <row r="96" spans="1:42" ht="15" outlineLevel="1" thickBot="1" x14ac:dyDescent="0.35">
      <c r="A96" s="365">
        <v>0</v>
      </c>
      <c r="B96" s="365"/>
      <c r="C96" s="365" t="s">
        <v>691</v>
      </c>
      <c r="D96" s="693">
        <v>1</v>
      </c>
      <c r="E96" s="319">
        <v>0</v>
      </c>
      <c r="F96" s="319">
        <v>100</v>
      </c>
      <c r="G96" s="319">
        <v>0</v>
      </c>
      <c r="H96" s="352">
        <v>0</v>
      </c>
      <c r="I96" s="365" t="s">
        <v>865</v>
      </c>
      <c r="J96" s="329" t="s">
        <v>648</v>
      </c>
      <c r="K96" s="329" t="s">
        <v>871</v>
      </c>
      <c r="L96" s="329" t="s">
        <v>868</v>
      </c>
      <c r="M96" s="479">
        <f>_xlfn.XLOOKUP(I96,'Utslippsfaktorer Transport'!$A$10:$A$19,'Utslippsfaktorer Transport'!$B$10:$B$19)*_xlfn.XLOOKUP(J96,'Utslippsfaktorer Transport'!$A$34:$A$52,'Utslippsfaktorer Transport'!$E$34:$E$52)</f>
        <v>64.47</v>
      </c>
      <c r="N96" s="441">
        <f>_xlfn.XLOOKUP(K96,'Utslippsfaktorer Transport'!$A$27:$A$29,'Utslippsfaktorer Transport'!$F$27:$F$29)</f>
        <v>17.5</v>
      </c>
      <c r="O96" s="903">
        <f>_xlfn.XLOOKUP(L96,'Utslippsfaktorer Transport'!$A$23:$A$25,'Utslippsfaktorer Transport'!$C$23:$C$25)</f>
        <v>0</v>
      </c>
      <c r="AG96" s="915" t="str">
        <f t="shared" si="0"/>
        <v>Skriv navn på vare her</v>
      </c>
      <c r="AH96" s="441">
        <f>E96*F96*_xlfn.XLOOKUP(I96,'Utslippsfaktorer Transport'!$A$9:$A$19,'Utslippsfaktorer Transport'!$B$9:$B$19)*_xlfn.XLOOKUP(J96,'Utslippsfaktorer Transport'!$A$33:$A$52,'Utslippsfaktorer Transport'!$B$33:$B$52)/1000/D96</f>
        <v>0</v>
      </c>
      <c r="AI96" s="441">
        <f>E96*F96*_xlfn.XLOOKUP(I96,'Utslippsfaktorer Transport'!$A$9:$A$19,'Utslippsfaktorer Transport'!$B$9:$B$19)*_xlfn.XLOOKUP(J96,'Utslippsfaktorer Transport'!$A$33:$A$52,'Utslippsfaktorer Transport'!$C$33:$C$52)/1000/D96</f>
        <v>0</v>
      </c>
      <c r="AJ96" s="441">
        <f>E96*F96*_xlfn.XLOOKUP(I96,'Utslippsfaktorer Transport'!$A$9:$A$19,'Utslippsfaktorer Transport'!$B$9:$B$19)*_xlfn.XLOOKUP(J96,'Utslippsfaktorer Transport'!$A$33:$A$52,'Utslippsfaktorer Transport'!$D$33:$D$52)/1000/D96</f>
        <v>0</v>
      </c>
      <c r="AK96" s="905">
        <f>E96*G96*_xlfn.XLOOKUP(K96,'Utslippsfaktorer Transport'!$A$26:$A$29,'Utslippsfaktorer Transport'!$F$26:$F$29)/1000/D96</f>
        <v>0</v>
      </c>
      <c r="AL96" s="905">
        <f>E96*G96*_xlfn.XLOOKUP(K96,'Utslippsfaktorer Transport'!$A$26:$A$29,'Utslippsfaktorer Transport'!$G$26:$G$29)/1000/D96</f>
        <v>0</v>
      </c>
      <c r="AM96" s="905">
        <f>E96*G96*_xlfn.XLOOKUP(K96,'Utslippsfaktorer Transport'!$A$26:$A$29,'Utslippsfaktorer Transport'!$H$26:$H$29)/1000/D96</f>
        <v>0</v>
      </c>
      <c r="AN96" s="441">
        <f>H96*E96*_xlfn.XLOOKUP(L96,'Utslippsfaktorer Transport'!$A$23:$A$25,'Utslippsfaktorer Transport'!$C$23:$C$25)/1000/D96</f>
        <v>0</v>
      </c>
      <c r="AO96" s="441">
        <f>H96*E96*_xlfn.XLOOKUP(L96,'Utslippsfaktorer Transport'!$A$23:$A$25,'Utslippsfaktorer Transport'!$D$23:$D$25)/1000/D96</f>
        <v>0</v>
      </c>
      <c r="AP96" s="903">
        <f>H96*E96*_xlfn.XLOOKUP(L96,'Utslippsfaktorer Transport'!$A$23:$A$25,'Utslippsfaktorer Transport'!$E$23:$E$25)/1000/D96</f>
        <v>0</v>
      </c>
    </row>
    <row r="97" spans="1:42" ht="15" outlineLevel="1" thickBot="1" x14ac:dyDescent="0.35">
      <c r="AK97" s="660"/>
      <c r="AL97" s="660"/>
      <c r="AM97" s="660"/>
    </row>
    <row r="98" spans="1:42" ht="15.6" outlineLevel="1" x14ac:dyDescent="0.3">
      <c r="A98" s="471" t="s">
        <v>777</v>
      </c>
      <c r="B98" s="335"/>
      <c r="C98" s="654" t="s">
        <v>692</v>
      </c>
      <c r="D98" s="684"/>
      <c r="E98" s="656" t="s">
        <v>321</v>
      </c>
      <c r="F98" s="307" t="s">
        <v>669</v>
      </c>
      <c r="G98" s="694" t="s">
        <v>667</v>
      </c>
      <c r="H98" s="419" t="s">
        <v>670</v>
      </c>
      <c r="I98" s="378" t="s">
        <v>891</v>
      </c>
      <c r="J98" s="307" t="s">
        <v>892</v>
      </c>
      <c r="K98" s="307" t="s">
        <v>893</v>
      </c>
      <c r="L98" s="307" t="s">
        <v>890</v>
      </c>
      <c r="M98" s="307" t="s">
        <v>894</v>
      </c>
      <c r="N98" s="307" t="s">
        <v>895</v>
      </c>
      <c r="O98" s="419" t="s">
        <v>901</v>
      </c>
      <c r="P98" s="458"/>
      <c r="Q98" s="458"/>
      <c r="R98" s="458"/>
      <c r="S98" s="458"/>
      <c r="T98" s="459"/>
      <c r="AG98" s="695" t="s">
        <v>692</v>
      </c>
      <c r="AH98" s="307"/>
      <c r="AI98" s="307"/>
      <c r="AJ98" s="307"/>
      <c r="AK98" s="661"/>
      <c r="AL98" s="661"/>
      <c r="AM98" s="661"/>
      <c r="AN98" s="307"/>
      <c r="AO98" s="307"/>
      <c r="AP98" s="419"/>
    </row>
    <row r="99" spans="1:42" outlineLevel="1" x14ac:dyDescent="0.3">
      <c r="A99" s="338">
        <v>0</v>
      </c>
      <c r="B99" s="405"/>
      <c r="C99" s="373" t="s">
        <v>329</v>
      </c>
      <c r="D99" s="313"/>
      <c r="E99" s="315">
        <v>0</v>
      </c>
      <c r="F99" s="339">
        <v>100</v>
      </c>
      <c r="G99" s="339">
        <v>0</v>
      </c>
      <c r="H99" s="696">
        <v>0</v>
      </c>
      <c r="I99" s="483" t="s">
        <v>865</v>
      </c>
      <c r="J99" s="360" t="s">
        <v>648</v>
      </c>
      <c r="K99" s="360" t="s">
        <v>871</v>
      </c>
      <c r="L99" s="360" t="s">
        <v>868</v>
      </c>
      <c r="M99" s="473">
        <f>_xlfn.XLOOKUP(I99,'Utslippsfaktorer Transport'!$A$10:$A$19,'Utslippsfaktorer Transport'!$B$10:$B$19)*_xlfn.XLOOKUP(J99,'Utslippsfaktorer Transport'!$A$34:$A$52,'Utslippsfaktorer Transport'!$E$34:$E$52)</f>
        <v>64.47</v>
      </c>
      <c r="N99" s="442">
        <f>_xlfn.XLOOKUP(K99,'Utslippsfaktorer Transport'!$A$27:$A$29,'Utslippsfaktorer Transport'!$F$27:$F$29)</f>
        <v>17.5</v>
      </c>
      <c r="O99" s="902">
        <f>_xlfn.XLOOKUP(L99,'Utslippsfaktorer Transport'!$A$23:$A$25,'Utslippsfaktorer Transport'!$C$23:$C$25)</f>
        <v>0</v>
      </c>
      <c r="P99" s="313"/>
      <c r="Q99" s="313"/>
      <c r="R99" s="313"/>
      <c r="S99" s="313"/>
      <c r="T99" s="316"/>
      <c r="AG99" s="373" t="s">
        <v>329</v>
      </c>
      <c r="AH99" s="442">
        <f>E99*F99*_xlfn.XLOOKUP(I99,'Utslippsfaktorer Transport'!$A$9:$A$19,'Utslippsfaktorer Transport'!$B$9:$B$19)*_xlfn.XLOOKUP(J99,'Utslippsfaktorer Transport'!$A$33:$A$52,'Utslippsfaktorer Transport'!$B$33:$B$52)/1000</f>
        <v>0</v>
      </c>
      <c r="AI99" s="442">
        <f>E99*F99*_xlfn.XLOOKUP(I99,'Utslippsfaktorer Transport'!$A$9:$A$19,'Utslippsfaktorer Transport'!$B$9:$B$19)*_xlfn.XLOOKUP(J99,'Utslippsfaktorer Transport'!$A$33:$A$52,'Utslippsfaktorer Transport'!$C$33:$C$52)/1000</f>
        <v>0</v>
      </c>
      <c r="AJ99" s="442">
        <f>E99*F99*_xlfn.XLOOKUP(I99,'Utslippsfaktorer Transport'!$A$9:$A$19,'Utslippsfaktorer Transport'!$B$9:$B$19)*_xlfn.XLOOKUP(J99,'Utslippsfaktorer Transport'!$A$33:$A$52,'Utslippsfaktorer Transport'!$D$33:$D$52)/1000</f>
        <v>0</v>
      </c>
      <c r="AK99" s="904">
        <f>E99*G99*_xlfn.XLOOKUP(K99,'Utslippsfaktorer Transport'!$A$26:$A$29,'Utslippsfaktorer Transport'!$F$26:$F$29)/1000</f>
        <v>0</v>
      </c>
      <c r="AL99" s="904">
        <f>E99*G99*_xlfn.XLOOKUP(K99,'Utslippsfaktorer Transport'!$A$26:$A$29,'Utslippsfaktorer Transport'!$G$26:$G$29)/1000</f>
        <v>0</v>
      </c>
      <c r="AM99" s="904">
        <f>E99*G99*_xlfn.XLOOKUP(K99,'Utslippsfaktorer Transport'!$A$26:$A$29,'Utslippsfaktorer Transport'!$H$26:$H$29)/1000</f>
        <v>0</v>
      </c>
      <c r="AN99" s="442">
        <f>H99*E99*_xlfn.XLOOKUP(L99,'Utslippsfaktorer Transport'!$A$23:$A$25,'Utslippsfaktorer Transport'!$C$23:$C$25)/1000</f>
        <v>0</v>
      </c>
      <c r="AO99" s="442">
        <f>H99*E99*_xlfn.XLOOKUP(L99,'Utslippsfaktorer Transport'!$A$23:$A$25,'Utslippsfaktorer Transport'!$D$23:$D$25)/1000</f>
        <v>0</v>
      </c>
      <c r="AP99" s="902">
        <f>H99*E99*_xlfn.XLOOKUP(L99,'Utslippsfaktorer Transport'!$A$23:$A$25,'Utslippsfaktorer Transport'!$E$23:$E$25)/1000</f>
        <v>0</v>
      </c>
    </row>
    <row r="100" spans="1:42" outlineLevel="1" x14ac:dyDescent="0.3">
      <c r="A100" s="338">
        <v>0</v>
      </c>
      <c r="B100" s="405"/>
      <c r="C100" s="373" t="s">
        <v>328</v>
      </c>
      <c r="D100" s="313"/>
      <c r="E100" s="315">
        <v>0</v>
      </c>
      <c r="F100" s="315">
        <v>100</v>
      </c>
      <c r="G100" s="315">
        <v>0</v>
      </c>
      <c r="H100" s="361">
        <v>0</v>
      </c>
      <c r="I100" s="483" t="s">
        <v>865</v>
      </c>
      <c r="J100" s="360" t="s">
        <v>648</v>
      </c>
      <c r="K100" s="360" t="s">
        <v>871</v>
      </c>
      <c r="L100" s="360" t="s">
        <v>868</v>
      </c>
      <c r="M100" s="473">
        <f>_xlfn.XLOOKUP(I100,'Utslippsfaktorer Transport'!$A$10:$A$19,'Utslippsfaktorer Transport'!$B$10:$B$19)*_xlfn.XLOOKUP(J100,'Utslippsfaktorer Transport'!$A$34:$A$52,'Utslippsfaktorer Transport'!$E$34:$E$52)</f>
        <v>64.47</v>
      </c>
      <c r="N100" s="442">
        <f>_xlfn.XLOOKUP(K100,'Utslippsfaktorer Transport'!$A$27:$A$29,'Utslippsfaktorer Transport'!$F$27:$F$29)</f>
        <v>17.5</v>
      </c>
      <c r="O100" s="902">
        <f>_xlfn.XLOOKUP(L100,'Utslippsfaktorer Transport'!$A$23:$A$25,'Utslippsfaktorer Transport'!$C$23:$C$25)</f>
        <v>0</v>
      </c>
      <c r="P100" s="313"/>
      <c r="Q100" s="313"/>
      <c r="R100" s="313"/>
      <c r="S100" s="313"/>
      <c r="T100" s="316"/>
      <c r="AG100" s="373" t="s">
        <v>328</v>
      </c>
      <c r="AH100" s="442">
        <f>E100*F100*_xlfn.XLOOKUP(I100,'Utslippsfaktorer Transport'!$A$9:$A$19,'Utslippsfaktorer Transport'!$B$9:$B$19)*_xlfn.XLOOKUP(J100,'Utslippsfaktorer Transport'!$A$33:$A$52,'Utslippsfaktorer Transport'!$B$33:$B$52)/1000</f>
        <v>0</v>
      </c>
      <c r="AI100" s="442">
        <f>E100*F100*_xlfn.XLOOKUP(I100,'Utslippsfaktorer Transport'!$A$9:$A$19,'Utslippsfaktorer Transport'!$B$9:$B$19)*_xlfn.XLOOKUP(J100,'Utslippsfaktorer Transport'!$A$33:$A$52,'Utslippsfaktorer Transport'!$C$33:$C$52)/1000</f>
        <v>0</v>
      </c>
      <c r="AJ100" s="442">
        <f>E100*F100*_xlfn.XLOOKUP(I100,'Utslippsfaktorer Transport'!$A$9:$A$19,'Utslippsfaktorer Transport'!$B$9:$B$19)*_xlfn.XLOOKUP(J100,'Utslippsfaktorer Transport'!$A$33:$A$52,'Utslippsfaktorer Transport'!$D$33:$D$52)/1000</f>
        <v>0</v>
      </c>
      <c r="AK100" s="904">
        <f>E100*G100*_xlfn.XLOOKUP(K100,'Utslippsfaktorer Transport'!$A$26:$A$29,'Utslippsfaktorer Transport'!$F$26:$F$29)/1000</f>
        <v>0</v>
      </c>
      <c r="AL100" s="904">
        <f>E100*G100*_xlfn.XLOOKUP(K100,'Utslippsfaktorer Transport'!$A$26:$A$29,'Utslippsfaktorer Transport'!$G$26:$G$29)/1000</f>
        <v>0</v>
      </c>
      <c r="AM100" s="904">
        <f>E100*G100*_xlfn.XLOOKUP(K100,'Utslippsfaktorer Transport'!$A$26:$A$29,'Utslippsfaktorer Transport'!$H$26:$H$29)/1000</f>
        <v>0</v>
      </c>
      <c r="AN100" s="442">
        <f>H100*E100*_xlfn.XLOOKUP(L100,'Utslippsfaktorer Transport'!$A$23:$A$25,'Utslippsfaktorer Transport'!$C$23:$C$25)/1000</f>
        <v>0</v>
      </c>
      <c r="AO100" s="442">
        <f>H100*E100*_xlfn.XLOOKUP(L100,'Utslippsfaktorer Transport'!$A$23:$A$25,'Utslippsfaktorer Transport'!$D$23:$D$25)/1000</f>
        <v>0</v>
      </c>
      <c r="AP100" s="902">
        <f>H100*E100*_xlfn.XLOOKUP(L100,'Utslippsfaktorer Transport'!$A$23:$A$25,'Utslippsfaktorer Transport'!$E$23:$E$25)/1000</f>
        <v>0</v>
      </c>
    </row>
    <row r="101" spans="1:42" ht="15" outlineLevel="1" thickBot="1" x14ac:dyDescent="0.35">
      <c r="A101" s="326">
        <v>0</v>
      </c>
      <c r="B101" s="907">
        <f>'Vann og Avløp-utslippsfaktorer'!D21</f>
        <v>0</v>
      </c>
      <c r="C101" s="376" t="s">
        <v>671</v>
      </c>
      <c r="D101" s="318"/>
      <c r="E101" s="319">
        <v>0</v>
      </c>
      <c r="F101" s="319">
        <v>100</v>
      </c>
      <c r="G101" s="319">
        <v>0</v>
      </c>
      <c r="H101" s="369">
        <v>0</v>
      </c>
      <c r="I101" s="365" t="s">
        <v>865</v>
      </c>
      <c r="J101" s="329" t="s">
        <v>648</v>
      </c>
      <c r="K101" s="329" t="s">
        <v>871</v>
      </c>
      <c r="L101" s="329" t="s">
        <v>868</v>
      </c>
      <c r="M101" s="479">
        <f>_xlfn.XLOOKUP(I101,'Utslippsfaktorer Transport'!$A$10:$A$19,'Utslippsfaktorer Transport'!$B$10:$B$19)*_xlfn.XLOOKUP(J101,'Utslippsfaktorer Transport'!$A$34:$A$52,'Utslippsfaktorer Transport'!$E$34:$E$52)</f>
        <v>64.47</v>
      </c>
      <c r="N101" s="441">
        <f>_xlfn.XLOOKUP(K101,'Utslippsfaktorer Transport'!$A$27:$A$29,'Utslippsfaktorer Transport'!$F$27:$F$29)</f>
        <v>17.5</v>
      </c>
      <c r="O101" s="903">
        <f>_xlfn.XLOOKUP(L101,'Utslippsfaktorer Transport'!$A$23:$A$25,'Utslippsfaktorer Transport'!$C$23:$C$25)</f>
        <v>0</v>
      </c>
      <c r="P101" s="318"/>
      <c r="Q101" s="318"/>
      <c r="R101" s="318"/>
      <c r="S101" s="318"/>
      <c r="T101" s="320"/>
      <c r="AG101" s="376" t="s">
        <v>671</v>
      </c>
      <c r="AH101" s="441">
        <f>E101*F101*_xlfn.XLOOKUP(I101,'Utslippsfaktorer Transport'!$A$9:$A$19,'Utslippsfaktorer Transport'!$B$9:$B$19)*_xlfn.XLOOKUP(J101,'Utslippsfaktorer Transport'!$A$33:$A$52,'Utslippsfaktorer Transport'!$B$33:$B$52)/1000</f>
        <v>0</v>
      </c>
      <c r="AI101" s="441">
        <f>E101*F101*_xlfn.XLOOKUP(I101,'Utslippsfaktorer Transport'!$A$9:$A$19,'Utslippsfaktorer Transport'!$B$9:$B$19)*_xlfn.XLOOKUP(J101,'Utslippsfaktorer Transport'!$A$33:$A$52,'Utslippsfaktorer Transport'!$C$33:$C$52)/1000</f>
        <v>0</v>
      </c>
      <c r="AJ101" s="441">
        <f>E101*F101*_xlfn.XLOOKUP(I101,'Utslippsfaktorer Transport'!$A$9:$A$19,'Utslippsfaktorer Transport'!$B$9:$B$19)*_xlfn.XLOOKUP(J101,'Utslippsfaktorer Transport'!$A$33:$A$52,'Utslippsfaktorer Transport'!$D$33:$D$52)/1000</f>
        <v>0</v>
      </c>
      <c r="AK101" s="905">
        <f>E101*G101*_xlfn.XLOOKUP(K101,'Utslippsfaktorer Transport'!$A$26:$A$29,'Utslippsfaktorer Transport'!$F$26:$F$29)/1000</f>
        <v>0</v>
      </c>
      <c r="AL101" s="905">
        <f>E101*G101*_xlfn.XLOOKUP(K101,'Utslippsfaktorer Transport'!$A$26:$A$29,'Utslippsfaktorer Transport'!$G$26:$G$29)/1000</f>
        <v>0</v>
      </c>
      <c r="AM101" s="905">
        <f>E101*G101*_xlfn.XLOOKUP(K101,'Utslippsfaktorer Transport'!$A$26:$A$29,'Utslippsfaktorer Transport'!$H$26:$H$29)/1000</f>
        <v>0</v>
      </c>
      <c r="AN101" s="441">
        <f>H101*E101*_xlfn.XLOOKUP(L101,'Utslippsfaktorer Transport'!$A$23:$A$25,'Utslippsfaktorer Transport'!$C$23:$C$25)/1000</f>
        <v>0</v>
      </c>
      <c r="AO101" s="441">
        <f>H101*E101*_xlfn.XLOOKUP(L101,'Utslippsfaktorer Transport'!$A$23:$A$25,'Utslippsfaktorer Transport'!$D$23:$D$25)/1000</f>
        <v>0</v>
      </c>
      <c r="AP101" s="903">
        <f>H101*E101*_xlfn.XLOOKUP(L101,'Utslippsfaktorer Transport'!$A$23:$A$25,'Utslippsfaktorer Transport'!$E$23:$E$25)/1000</f>
        <v>0</v>
      </c>
    </row>
    <row r="102" spans="1:42" ht="15" outlineLevel="1" thickBot="1" x14ac:dyDescent="0.35">
      <c r="A102" s="313"/>
      <c r="B102" s="313"/>
      <c r="C102" s="313"/>
      <c r="D102" s="313"/>
      <c r="E102" s="313"/>
      <c r="F102" s="313"/>
      <c r="G102" s="313"/>
      <c r="H102" s="313"/>
      <c r="I102" s="313"/>
      <c r="J102" s="313"/>
      <c r="K102" s="313"/>
      <c r="L102" s="313"/>
      <c r="M102" s="313"/>
      <c r="N102" s="313"/>
      <c r="O102" s="313"/>
      <c r="P102" s="313"/>
      <c r="Q102" s="313"/>
      <c r="R102" s="313"/>
      <c r="S102" s="313"/>
      <c r="T102" s="313"/>
      <c r="AG102" s="376"/>
      <c r="AH102" s="318"/>
      <c r="AI102" s="318"/>
      <c r="AJ102" s="318"/>
      <c r="AK102" s="659"/>
      <c r="AL102" s="659"/>
      <c r="AM102" s="659"/>
      <c r="AN102" s="318"/>
      <c r="AO102" s="318"/>
      <c r="AP102" s="320"/>
    </row>
    <row r="103" spans="1:42" outlineLevel="1" x14ac:dyDescent="0.3">
      <c r="A103" s="370" t="s">
        <v>828</v>
      </c>
      <c r="B103" s="308"/>
      <c r="C103" s="308" t="s">
        <v>832</v>
      </c>
      <c r="D103" s="308"/>
      <c r="E103" s="310" t="s">
        <v>614</v>
      </c>
      <c r="F103" s="311" t="s">
        <v>833</v>
      </c>
      <c r="G103" s="314"/>
      <c r="H103" s="314"/>
      <c r="I103" s="314"/>
      <c r="J103" s="314"/>
      <c r="K103" s="314"/>
      <c r="L103" s="314"/>
      <c r="M103" s="314"/>
      <c r="N103" s="314"/>
      <c r="O103" s="314"/>
      <c r="P103" s="313"/>
      <c r="Q103" s="313"/>
      <c r="R103" s="313"/>
      <c r="S103" s="313"/>
      <c r="T103" s="313"/>
      <c r="AG103" s="412"/>
    </row>
    <row r="104" spans="1:42" outlineLevel="1" x14ac:dyDescent="0.3">
      <c r="A104" s="469" t="s">
        <v>612</v>
      </c>
      <c r="B104" s="313"/>
      <c r="C104" s="1140">
        <f>SUM(A62:A83,A54:A58,A45:A51,A41:A42,A36:A39,A34,A31:A32,A29,A27,A25,A22:A23,A14:A18,A87:A96)</f>
        <v>0</v>
      </c>
      <c r="D104" s="1141"/>
      <c r="E104" s="315">
        <v>0</v>
      </c>
      <c r="F104" s="902">
        <f>IF(E104=0,C104,E104)</f>
        <v>0</v>
      </c>
      <c r="G104" s="313"/>
      <c r="H104" s="313"/>
      <c r="I104" s="313"/>
      <c r="J104" s="313"/>
      <c r="K104" s="313"/>
      <c r="L104" s="313"/>
      <c r="M104" s="313"/>
      <c r="N104" s="313"/>
      <c r="O104" s="313"/>
      <c r="P104" s="313"/>
      <c r="Q104" s="313"/>
      <c r="R104" s="313"/>
      <c r="S104" s="313"/>
      <c r="T104" s="313"/>
    </row>
    <row r="105" spans="1:42" outlineLevel="1" x14ac:dyDescent="0.3">
      <c r="A105" s="469" t="s">
        <v>613</v>
      </c>
      <c r="B105" s="313"/>
      <c r="C105" s="1142">
        <f>SUM(A99:A101)</f>
        <v>0</v>
      </c>
      <c r="D105" s="1143"/>
      <c r="E105" s="315">
        <v>0</v>
      </c>
      <c r="F105" s="902">
        <f>IF(E105=0,C105,E105)</f>
        <v>0</v>
      </c>
      <c r="G105" s="313"/>
      <c r="H105" s="313"/>
      <c r="I105" s="313"/>
      <c r="J105" s="313"/>
      <c r="K105" s="313"/>
      <c r="L105" s="313"/>
      <c r="M105" s="313"/>
      <c r="N105" s="313"/>
      <c r="O105" s="313"/>
      <c r="P105" s="313"/>
      <c r="Q105" s="313"/>
      <c r="R105" s="313"/>
      <c r="S105" s="313"/>
      <c r="T105" s="313"/>
    </row>
    <row r="106" spans="1:42" ht="15" outlineLevel="1" thickBot="1" x14ac:dyDescent="0.35">
      <c r="A106" s="379" t="s">
        <v>307</v>
      </c>
      <c r="B106" s="318"/>
      <c r="C106" s="1134">
        <f>SUM(B5:B10)</f>
        <v>0</v>
      </c>
      <c r="D106" s="1135"/>
      <c r="E106" s="426">
        <v>0</v>
      </c>
      <c r="F106" s="923">
        <f>IF(E106=0,C106,E106)</f>
        <v>0</v>
      </c>
      <c r="G106" s="313"/>
      <c r="H106" s="313"/>
      <c r="I106" s="313"/>
      <c r="J106" s="313"/>
      <c r="K106" s="313"/>
      <c r="L106" s="313"/>
      <c r="M106" s="313"/>
      <c r="N106" s="313"/>
      <c r="O106" s="313"/>
      <c r="P106" s="313"/>
      <c r="Q106" s="313"/>
      <c r="R106" s="313"/>
      <c r="S106" s="313"/>
      <c r="T106" s="313"/>
    </row>
    <row r="107" spans="1:42" outlineLevel="1" x14ac:dyDescent="0.3"/>
    <row r="108" spans="1:42" x14ac:dyDescent="0.3">
      <c r="B108" s="388" t="s">
        <v>375</v>
      </c>
      <c r="F108" s="388" t="s">
        <v>381</v>
      </c>
      <c r="G108" s="388"/>
      <c r="H108" s="388"/>
      <c r="I108" s="388"/>
      <c r="J108" s="388"/>
      <c r="K108" s="388"/>
      <c r="L108" s="388"/>
      <c r="M108" s="388"/>
      <c r="N108" s="388"/>
      <c r="O108" s="388"/>
      <c r="T108" s="388" t="s">
        <v>370</v>
      </c>
    </row>
    <row r="109" spans="1:42" outlineLevel="1" x14ac:dyDescent="0.3">
      <c r="B109" s="388" t="s">
        <v>332</v>
      </c>
    </row>
    <row r="110" spans="1:42" outlineLevel="1" x14ac:dyDescent="0.3"/>
    <row r="111" spans="1:42" outlineLevel="1" x14ac:dyDescent="0.3"/>
    <row r="112" spans="1:42" outlineLevel="1" x14ac:dyDescent="0.3"/>
  </sheetData>
  <sheetProtection algorithmName="SHA-512" hashValue="vVp3zm+3iB14xz4Bc+iSH3MEC0REnpE6GEFe7qmLI5+1TUHa486+Wpv4wsHYXWG92YO+CI7VXqr37osPxgEHUw==" saltValue="9qgZx9qUV6zyWs8P6KEIPw==" spinCount="100000" sheet="1" objects="1" scenarios="1" formatColumns="0" formatRows="0"/>
  <mergeCells count="9">
    <mergeCell ref="AH12:AJ12"/>
    <mergeCell ref="AK12:AM12"/>
    <mergeCell ref="AN12:AP12"/>
    <mergeCell ref="C106:D106"/>
    <mergeCell ref="B2:R2"/>
    <mergeCell ref="B85:H85"/>
    <mergeCell ref="A12:F12"/>
    <mergeCell ref="C104:D104"/>
    <mergeCell ref="C105:D105"/>
  </mergeCells>
  <conditionalFormatting sqref="B99:B101 B13:B61">
    <cfRule type="dataBar" priority="30">
      <dataBar showValue="0">
        <cfvo type="min"/>
        <cfvo type="max"/>
        <color theme="9"/>
      </dataBar>
      <extLst>
        <ext xmlns:x14="http://schemas.microsoft.com/office/spreadsheetml/2009/9/main" uri="{B025F937-C7B1-47D3-B67F-A62EFF666E3E}">
          <x14:id>{CE226016-A438-4DDB-9C6C-067B24654499}</x14:id>
        </ext>
      </extLst>
    </cfRule>
  </conditionalFormatting>
  <conditionalFormatting sqref="B62:B84">
    <cfRule type="dataBar" priority="1">
      <dataBar showValue="0">
        <cfvo type="min"/>
        <cfvo type="max"/>
        <color theme="9"/>
      </dataBar>
      <extLst>
        <ext xmlns:x14="http://schemas.microsoft.com/office/spreadsheetml/2009/9/main" uri="{B025F937-C7B1-47D3-B67F-A62EFF666E3E}">
          <x14:id>{FAA72A99-5503-468B-B2A0-B04EE048D87C}</x14:id>
        </ext>
      </extLst>
    </cfRule>
  </conditionalFormatting>
  <hyperlinks>
    <hyperlink ref="B108" location="Innledning!A1" display="Tilbake til forside" xr:uid="{00000000-0004-0000-0200-000000000000}"/>
    <hyperlink ref="F108" location="Sammendrag!A1" display="Sammendrag" xr:uid="{00000000-0004-0000-0200-000001000000}"/>
    <hyperlink ref="T108" location="'Vannbehandling - Resultater'!A1" display="Resultater" xr:uid="{00000000-0004-0000-0200-000002000000}"/>
    <hyperlink ref="B109" location="'Vann og Avløp-utslippsfaktorer'!A1" display="Utslippsfaktorer" xr:uid="{00000000-0004-0000-0200-000003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CE226016-A438-4DDB-9C6C-067B24654499}">
            <x14:dataBar minLength="0" maxLength="100" gradient="0">
              <x14:cfvo type="autoMin"/>
              <x14:cfvo type="autoMax"/>
              <x14:negativeFillColor rgb="FFFF0000"/>
              <x14:axisColor rgb="FF000000"/>
            </x14:dataBar>
          </x14:cfRule>
          <xm:sqref>B99:B101 B13:B61</xm:sqref>
        </x14:conditionalFormatting>
        <x14:conditionalFormatting xmlns:xm="http://schemas.microsoft.com/office/excel/2006/main">
          <x14:cfRule type="dataBar" id="{FAA72A99-5503-468B-B2A0-B04EE048D87C}">
            <x14:dataBar minLength="0" maxLength="100" gradient="0">
              <x14:cfvo type="autoMin"/>
              <x14:cfvo type="autoMax"/>
              <x14:negativeFillColor rgb="FFFF0000"/>
              <x14:axisColor rgb="FF000000"/>
            </x14:dataBar>
          </x14:cfRule>
          <xm:sqref>B62:B84</xm:sqref>
        </x14:conditionalFormatting>
      </x14:conditionalFormattings>
    </ext>
    <ext xmlns:x14="http://schemas.microsoft.com/office/spreadsheetml/2009/9/main" uri="{CCE6A557-97BC-4b89-ADB6-D9C93CAAB3DF}">
      <x14:dataValidations xmlns:xm="http://schemas.microsoft.com/office/excel/2006/main" disablePrompts="1" count="5">
        <x14:dataValidation type="list" allowBlank="1" showInputMessage="1" showErrorMessage="1" xr:uid="{213C2729-49FE-423A-AD5C-5E87D7234CD5}">
          <x14:formula1>
            <xm:f>'Utslippsfaktorer Transport'!$A$23:$A$24</xm:f>
          </x14:formula1>
          <xm:sqref>L84</xm:sqref>
        </x14:dataValidation>
        <x14:dataValidation type="list" allowBlank="1" showInputMessage="1" showErrorMessage="1" xr:uid="{94F9B496-71B3-404A-AFDE-FE50D626AD3A}">
          <x14:formula1>
            <xm:f>'Utslippsfaktorer Transport'!$A$27:$A$29</xm:f>
          </x14:formula1>
          <xm:sqref>K14:K18 K62:K84 K36:K39 K34 K31:K32 K29 K27 K25 K22:K23 K45:K51 K54:K58 K99:K101 K87:K96 K41:K42</xm:sqref>
        </x14:dataValidation>
        <x14:dataValidation type="list" allowBlank="1" showInputMessage="1" showErrorMessage="1" xr:uid="{11E08C5E-B36C-4C2E-8D08-E091A0E8338F}">
          <x14:formula1>
            <xm:f>'Utslippsfaktorer Transport'!$A$9:$A$19</xm:f>
          </x14:formula1>
          <xm:sqref>I14:I18 I41:I42 I87:I96 I99:I101 I54:I58 I45:I51 I22:I23 I25 I27 I29 I31:I32 I34 I36:I39 I62:I84</xm:sqref>
        </x14:dataValidation>
        <x14:dataValidation type="list" allowBlank="1" showInputMessage="1" showErrorMessage="1" xr:uid="{8167EA41-DFAA-47F7-BC9D-12428D4C325F}">
          <x14:formula1>
            <xm:f>'Utslippsfaktorer Transport'!$A$23:$A$25</xm:f>
          </x14:formula1>
          <xm:sqref>L14:L18 L62:L83 L25 L27 L29 L31:L32 L34 L36:L39 L41:L42 L45:L51 L54:L58 L99:L101 L87:L96 L22:L23</xm:sqref>
        </x14:dataValidation>
        <x14:dataValidation type="list" allowBlank="1" showInputMessage="1" showErrorMessage="1" xr:uid="{43F233AA-4C54-4657-BB01-F77445FE3312}">
          <x14:formula1>
            <xm:f>'Utslippsfaktorer Transport'!$A$33:$A$52</xm:f>
          </x14:formula1>
          <xm:sqref>J14:J18 J62:J84 J25 J27 J29 J31:J32 J34 J36:J39 J41:J42 J45:J51 J54:J58 J99:J101 J87:J96 J22:J23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K104"/>
  <sheetViews>
    <sheetView workbookViewId="0">
      <selection activeCell="B4" sqref="B4"/>
    </sheetView>
  </sheetViews>
  <sheetFormatPr baseColWidth="10" defaultColWidth="11.5546875" defaultRowHeight="14.4" x14ac:dyDescent="0.3"/>
  <cols>
    <col min="1" max="1" width="59.44140625" style="301" customWidth="1"/>
    <col min="2" max="2" width="13.44140625" style="301" bestFit="1" customWidth="1"/>
    <col min="3" max="3" width="9.44140625" style="301" customWidth="1"/>
    <col min="4" max="4" width="11.5546875" style="301"/>
    <col min="5" max="5" width="15" style="301" bestFit="1" customWidth="1"/>
    <col min="6" max="6" width="12.5546875" style="301" bestFit="1" customWidth="1"/>
    <col min="7" max="9" width="11.5546875" style="301"/>
    <col min="10" max="10" width="38.33203125" style="301" customWidth="1"/>
    <col min="11" max="11" width="13.44140625" style="301" bestFit="1" customWidth="1"/>
    <col min="12" max="16384" width="11.5546875" style="301"/>
  </cols>
  <sheetData>
    <row r="1" spans="1:11" ht="24" thickBot="1" x14ac:dyDescent="0.5">
      <c r="A1" s="302" t="s">
        <v>839</v>
      </c>
    </row>
    <row r="2" spans="1:11" ht="15.6" x14ac:dyDescent="0.3">
      <c r="A2" s="695" t="s">
        <v>307</v>
      </c>
      <c r="B2" s="419" t="s">
        <v>326</v>
      </c>
      <c r="C2" s="403"/>
      <c r="D2" s="381"/>
      <c r="E2" s="458"/>
      <c r="F2" s="458"/>
      <c r="G2" s="458"/>
      <c r="H2" s="459"/>
      <c r="J2" s="695" t="s">
        <v>327</v>
      </c>
      <c r="K2" s="539" t="s">
        <v>326</v>
      </c>
    </row>
    <row r="3" spans="1:11" x14ac:dyDescent="0.3">
      <c r="A3" s="868" t="str">
        <f>'Vann og Avløp-utslippsfaktorer'!A3</f>
        <v>Elektrisitet, Norsk forbruksmiks</v>
      </c>
      <c r="B3" s="924">
        <f>VLOOKUP('Vannbehandling - Resultater'!A3,'Vann og Avløp-utslippsfaktorer'!$A$3:$D$82,4,FALSE)*VLOOKUP('Vannbehandling - Resultater'!A3,'Vannbehandling - Input'!C5:E82,3,FALSE)</f>
        <v>0</v>
      </c>
      <c r="C3" s="925">
        <f>B3</f>
        <v>0</v>
      </c>
      <c r="D3" s="373"/>
      <c r="H3" s="316"/>
      <c r="J3" s="373" t="s">
        <v>307</v>
      </c>
      <c r="K3" s="928">
        <f>SUM(B3:B8)</f>
        <v>0</v>
      </c>
    </row>
    <row r="4" spans="1:11" x14ac:dyDescent="0.3">
      <c r="A4" s="373" t="s">
        <v>488</v>
      </c>
      <c r="B4" s="924">
        <f>VLOOKUP('Vannbehandling - Resultater'!A4,'Vann og Avløp-utslippsfaktorer'!$A$3:$D$82,4,FALSE)*VLOOKUP('Vannbehandling - Resultater'!A4,'Vannbehandling - Input'!C6:E101,3,FALSE)</f>
        <v>0</v>
      </c>
      <c r="C4" s="925">
        <f t="shared" ref="C4:C8" si="0">B4</f>
        <v>0</v>
      </c>
      <c r="D4" s="373"/>
      <c r="H4" s="316"/>
      <c r="J4" s="373" t="s">
        <v>15</v>
      </c>
      <c r="K4" s="924">
        <f>SUM(B12:B16)</f>
        <v>0</v>
      </c>
    </row>
    <row r="5" spans="1:11" x14ac:dyDescent="0.3">
      <c r="A5" s="373" t="s">
        <v>308</v>
      </c>
      <c r="B5" s="924">
        <f>VLOOKUP('Vannbehandling - Resultater'!A5,'Vann og Avløp-utslippsfaktorer'!$A$3:$D$82,4,FALSE)*VLOOKUP('Vannbehandling - Resultater'!A5,'Vannbehandling - Input'!C7:E107,3,FALSE)</f>
        <v>0</v>
      </c>
      <c r="C5" s="925">
        <f t="shared" si="0"/>
        <v>0</v>
      </c>
      <c r="D5" s="373"/>
      <c r="H5" s="316"/>
      <c r="J5" s="373" t="s">
        <v>401</v>
      </c>
      <c r="K5" s="924">
        <f>SUM(B23,B25,B27,B29:B30,B32,B34:B37,B39,B40,B20:B21)</f>
        <v>0</v>
      </c>
    </row>
    <row r="6" spans="1:11" x14ac:dyDescent="0.3">
      <c r="A6" s="373" t="s">
        <v>764</v>
      </c>
      <c r="B6" s="924">
        <f>VLOOKUP('Vannbehandling - Resultater'!A6,'Vann og Avløp-utslippsfaktorer'!$A$3:$D$82,4,FALSE)*VLOOKUP('Vannbehandling - Resultater'!A6,'Vannbehandling - Input'!C8:E108,3,FALSE)</f>
        <v>0</v>
      </c>
      <c r="C6" s="925">
        <f t="shared" si="0"/>
        <v>0</v>
      </c>
      <c r="D6" s="373"/>
      <c r="H6" s="316"/>
      <c r="J6" s="373" t="s">
        <v>316</v>
      </c>
      <c r="K6" s="924">
        <f>SUM(B43:B49)</f>
        <v>0</v>
      </c>
    </row>
    <row r="7" spans="1:11" x14ac:dyDescent="0.3">
      <c r="A7" s="373" t="s">
        <v>309</v>
      </c>
      <c r="B7" s="924">
        <f>VLOOKUP('Vannbehandling - Resultater'!A7,'Vann og Avløp-utslippsfaktorer'!$A$3:$D$82,4,FALSE)*VLOOKUP('Vannbehandling - Resultater'!A7,'Vannbehandling - Input'!C9:E108,3,FALSE)</f>
        <v>0</v>
      </c>
      <c r="C7" s="925">
        <f t="shared" si="0"/>
        <v>0</v>
      </c>
      <c r="D7" s="373"/>
      <c r="H7" s="316"/>
      <c r="J7" s="373" t="s">
        <v>402</v>
      </c>
      <c r="K7" s="924">
        <f>SUM(B52:B56)</f>
        <v>0</v>
      </c>
    </row>
    <row r="8" spans="1:11" ht="15" thickBot="1" x14ac:dyDescent="0.35">
      <c r="A8" s="376" t="s">
        <v>310</v>
      </c>
      <c r="B8" s="926">
        <f>VLOOKUP('Vannbehandling - Resultater'!A8,'Vann og Avløp-utslippsfaktorer'!$A$3:$D$82,4,FALSE)*VLOOKUP('Vannbehandling - Resultater'!A8,'Vannbehandling - Input'!C10:E109,3,FALSE)</f>
        <v>0</v>
      </c>
      <c r="C8" s="927">
        <f t="shared" si="0"/>
        <v>0</v>
      </c>
      <c r="D8" s="376"/>
      <c r="E8" s="318"/>
      <c r="F8" s="318"/>
      <c r="G8" s="318"/>
      <c r="H8" s="320"/>
      <c r="J8" s="373" t="s">
        <v>762</v>
      </c>
      <c r="K8" s="924">
        <f>SUM(B59:B80)+SUM(B83:B92)</f>
        <v>0</v>
      </c>
    </row>
    <row r="9" spans="1:11" ht="15" thickBot="1" x14ac:dyDescent="0.35">
      <c r="B9" s="698"/>
      <c r="C9" s="698"/>
      <c r="J9" s="376" t="s">
        <v>26</v>
      </c>
      <c r="K9" s="926">
        <f>SUM(B95:B101)</f>
        <v>0</v>
      </c>
    </row>
    <row r="10" spans="1:11" ht="15" thickBot="1" x14ac:dyDescent="0.35">
      <c r="J10" s="699" t="s">
        <v>331</v>
      </c>
      <c r="K10" s="929">
        <f>SUM(K3:K9)</f>
        <v>0</v>
      </c>
    </row>
    <row r="11" spans="1:11" ht="15.6" x14ac:dyDescent="0.3">
      <c r="A11" s="654" t="s">
        <v>15</v>
      </c>
      <c r="B11" s="694" t="s">
        <v>326</v>
      </c>
      <c r="C11" s="403"/>
      <c r="D11" s="458"/>
      <c r="E11" s="458"/>
      <c r="F11" s="458"/>
      <c r="G11" s="458"/>
      <c r="H11" s="459"/>
    </row>
    <row r="12" spans="1:11" x14ac:dyDescent="0.3">
      <c r="A12" s="373" t="s">
        <v>16</v>
      </c>
      <c r="B12" s="930">
        <f>VLOOKUP('Vannbehandling - Resultater'!A12,'Vann og Avløp-utslippsfaktorer'!$A$3:$D$82,4,FALSE)*VLOOKUP('Vannbehandling - Resultater'!A12,'Vannbehandling - Input'!C14:E111,3,FALSE)</f>
        <v>0</v>
      </c>
      <c r="C12" s="931">
        <f t="shared" ref="C12:C16" si="1">B12</f>
        <v>0</v>
      </c>
      <c r="H12" s="316"/>
    </row>
    <row r="13" spans="1:11" x14ac:dyDescent="0.3">
      <c r="A13" s="373" t="s">
        <v>17</v>
      </c>
      <c r="B13" s="930">
        <f>VLOOKUP('Vannbehandling - Resultater'!A13,'Vann og Avløp-utslippsfaktorer'!$A$3:$D$82,4,FALSE)*VLOOKUP('Vannbehandling - Resultater'!A13,'Vannbehandling - Input'!C15:E112,3,FALSE)</f>
        <v>0</v>
      </c>
      <c r="C13" s="931">
        <f t="shared" si="1"/>
        <v>0</v>
      </c>
      <c r="H13" s="316"/>
    </row>
    <row r="14" spans="1:11" x14ac:dyDescent="0.3">
      <c r="A14" s="373" t="s">
        <v>18</v>
      </c>
      <c r="B14" s="930">
        <f>VLOOKUP('Vannbehandling - Resultater'!A14,'Vann og Avløp-utslippsfaktorer'!$A$3:$D$82,4,FALSE)*VLOOKUP('Vannbehandling - Resultater'!A14,'Vannbehandling - Input'!C16:E113,3,FALSE)</f>
        <v>0</v>
      </c>
      <c r="C14" s="931">
        <f t="shared" si="1"/>
        <v>0</v>
      </c>
      <c r="H14" s="316"/>
    </row>
    <row r="15" spans="1:11" x14ac:dyDescent="0.3">
      <c r="A15" s="373" t="s">
        <v>19</v>
      </c>
      <c r="B15" s="930">
        <f>VLOOKUP('Vannbehandling - Resultater'!A15,'Vann og Avløp-utslippsfaktorer'!$A$3:$D$82,4,FALSE)*VLOOKUP('Vannbehandling - Resultater'!A15,'Vannbehandling - Input'!C17:E114,3,FALSE)</f>
        <v>0</v>
      </c>
      <c r="C15" s="931">
        <f t="shared" si="1"/>
        <v>0</v>
      </c>
      <c r="H15" s="316"/>
    </row>
    <row r="16" spans="1:11" ht="15" thickBot="1" x14ac:dyDescent="0.35">
      <c r="A16" s="376" t="s">
        <v>574</v>
      </c>
      <c r="B16" s="932">
        <f>VLOOKUP('Vannbehandling - Resultater'!A16,'Vann og Avløp-utslippsfaktorer'!$A$3:$D$82,4,FALSE)*VLOOKUP('Vannbehandling - Resultater'!A16,'Vannbehandling - Input'!C18:E115,3,FALSE)</f>
        <v>0</v>
      </c>
      <c r="C16" s="933">
        <f t="shared" si="1"/>
        <v>0</v>
      </c>
      <c r="D16" s="318"/>
      <c r="E16" s="318"/>
      <c r="F16" s="318"/>
      <c r="G16" s="318"/>
      <c r="H16" s="320"/>
    </row>
    <row r="17" spans="1:8" ht="15" thickBot="1" x14ac:dyDescent="0.35"/>
    <row r="18" spans="1:8" ht="15.6" x14ac:dyDescent="0.3">
      <c r="A18" s="654" t="s">
        <v>401</v>
      </c>
      <c r="B18" s="458"/>
      <c r="C18" s="403"/>
      <c r="D18" s="458"/>
      <c r="E18" s="458"/>
      <c r="F18" s="458"/>
      <c r="G18" s="458"/>
      <c r="H18" s="459"/>
    </row>
    <row r="19" spans="1:8" x14ac:dyDescent="0.3">
      <c r="A19" s="701" t="s">
        <v>608</v>
      </c>
      <c r="B19" s="596" t="s">
        <v>326</v>
      </c>
      <c r="C19" s="405"/>
      <c r="D19" s="313"/>
      <c r="E19" s="313"/>
      <c r="F19" s="313"/>
      <c r="G19" s="313"/>
      <c r="H19" s="316"/>
    </row>
    <row r="20" spans="1:8" x14ac:dyDescent="0.3">
      <c r="A20" s="702" t="s">
        <v>605</v>
      </c>
      <c r="B20" s="934">
        <f>VLOOKUP('Vannbehandling - Resultater'!A20,'Vann og Avløp-utslippsfaktorer'!$A$3:$D$82,4,FALSE)*VLOOKUP('Vannbehandling - Resultater'!A20,'Vannbehandling - Input'!C22:E116,3,FALSE)</f>
        <v>0</v>
      </c>
      <c r="C20" s="935">
        <f>B20</f>
        <v>0</v>
      </c>
      <c r="D20" s="313"/>
      <c r="E20" s="313"/>
      <c r="F20" s="313"/>
      <c r="G20" s="313"/>
      <c r="H20" s="316"/>
    </row>
    <row r="21" spans="1:8" x14ac:dyDescent="0.3">
      <c r="A21" s="518" t="s">
        <v>620</v>
      </c>
      <c r="B21" s="936">
        <f>VLOOKUP('Vannbehandling - Resultater'!A21,'Vann og Avløp-utslippsfaktorer'!$A$3:$D$82,4,FALSE)*VLOOKUP('Vannbehandling - Resultater'!A21,'Vannbehandling - Input'!C23:E117,3,FALSE)</f>
        <v>0</v>
      </c>
      <c r="C21" s="937">
        <f>B21</f>
        <v>0</v>
      </c>
      <c r="D21" s="313"/>
      <c r="E21" s="313"/>
      <c r="F21" s="313"/>
      <c r="G21" s="313"/>
      <c r="H21" s="316"/>
    </row>
    <row r="22" spans="1:8" ht="15.6" x14ac:dyDescent="0.35">
      <c r="A22" s="432" t="s">
        <v>37</v>
      </c>
      <c r="B22" s="673" t="s">
        <v>326</v>
      </c>
      <c r="C22" s="405"/>
      <c r="H22" s="316"/>
    </row>
    <row r="23" spans="1:8" x14ac:dyDescent="0.3">
      <c r="A23" s="518" t="s">
        <v>272</v>
      </c>
      <c r="B23" s="938">
        <f>VLOOKUP('Vannbehandling - Resultater'!A23,'Vann og Avløp-utslippsfaktorer'!$A$3:$D$82,4,FALSE)*VLOOKUP('Vannbehandling - Resultater'!A23,'Vannbehandling - Input'!C25:E118,3,FALSE)</f>
        <v>0</v>
      </c>
      <c r="C23" s="939">
        <f>B23</f>
        <v>0</v>
      </c>
      <c r="H23" s="316"/>
    </row>
    <row r="24" spans="1:8" ht="15.6" x14ac:dyDescent="0.35">
      <c r="A24" s="432" t="s">
        <v>39</v>
      </c>
      <c r="B24" s="528" t="s">
        <v>326</v>
      </c>
      <c r="C24" s="405"/>
      <c r="H24" s="316"/>
    </row>
    <row r="25" spans="1:8" x14ac:dyDescent="0.3">
      <c r="A25" s="518" t="s">
        <v>38</v>
      </c>
      <c r="B25" s="938">
        <f>VLOOKUP('Vannbehandling - Resultater'!A25,'Vann og Avløp-utslippsfaktorer'!$A$3:$D$82,4,FALSE)*VLOOKUP('Vannbehandling - Resultater'!A25,'Vannbehandling - Input'!C27:E120,3,FALSE)</f>
        <v>0</v>
      </c>
      <c r="C25" s="939">
        <f>B25</f>
        <v>0</v>
      </c>
      <c r="H25" s="316"/>
    </row>
    <row r="26" spans="1:8" ht="15.6" x14ac:dyDescent="0.35">
      <c r="A26" s="680" t="s">
        <v>40</v>
      </c>
      <c r="B26" s="528" t="s">
        <v>326</v>
      </c>
      <c r="C26" s="405"/>
      <c r="H26" s="316"/>
    </row>
    <row r="27" spans="1:8" x14ac:dyDescent="0.3">
      <c r="A27" s="518" t="s">
        <v>41</v>
      </c>
      <c r="B27" s="938">
        <f>VLOOKUP('Vannbehandling - Resultater'!A27,'Vann og Avløp-utslippsfaktorer'!$A$3:$D$82,4,FALSE)*VLOOKUP('Vannbehandling - Resultater'!A27,'Vannbehandling - Input'!C29:E122,3,FALSE)</f>
        <v>0</v>
      </c>
      <c r="C27" s="939">
        <f>B27</f>
        <v>0</v>
      </c>
      <c r="H27" s="316"/>
    </row>
    <row r="28" spans="1:8" ht="15.6" x14ac:dyDescent="0.35">
      <c r="A28" s="680" t="s">
        <v>42</v>
      </c>
      <c r="B28" s="528" t="s">
        <v>326</v>
      </c>
      <c r="C28" s="405"/>
      <c r="H28" s="316"/>
    </row>
    <row r="29" spans="1:8" x14ac:dyDescent="0.3">
      <c r="A29" s="373" t="s">
        <v>383</v>
      </c>
      <c r="B29" s="930">
        <f>VLOOKUP('Vannbehandling - Resultater'!A29,'Vann og Avløp-utslippsfaktorer'!$A$3:$D$82,4,FALSE)*VLOOKUP('Vannbehandling - Resultater'!A29,'Vannbehandling - Input'!C31:E124,3,FALSE)</f>
        <v>0</v>
      </c>
      <c r="C29" s="935">
        <f t="shared" ref="C29:C40" si="2">B29</f>
        <v>0</v>
      </c>
      <c r="H29" s="316"/>
    </row>
    <row r="30" spans="1:8" x14ac:dyDescent="0.3">
      <c r="A30" s="518" t="s">
        <v>43</v>
      </c>
      <c r="B30" s="930">
        <f>VLOOKUP('Vannbehandling - Resultater'!A30,'Vann og Avløp-utslippsfaktorer'!$A$3:$D$82,4,FALSE)*VLOOKUP('Vannbehandling - Resultater'!A30,'Vannbehandling - Input'!C32:E125,3,FALSE)</f>
        <v>0</v>
      </c>
      <c r="C30" s="937">
        <f t="shared" si="2"/>
        <v>0</v>
      </c>
      <c r="H30" s="316"/>
    </row>
    <row r="31" spans="1:8" x14ac:dyDescent="0.3">
      <c r="A31" s="432" t="s">
        <v>44</v>
      </c>
      <c r="B31" s="528" t="s">
        <v>326</v>
      </c>
      <c r="C31" s="405"/>
      <c r="H31" s="316"/>
    </row>
    <row r="32" spans="1:8" x14ac:dyDescent="0.3">
      <c r="A32" s="518" t="s">
        <v>45</v>
      </c>
      <c r="B32" s="938">
        <f>VLOOKUP('Vannbehandling - Resultater'!A32,'Vann og Avløp-utslippsfaktorer'!$A$3:$D$82,4,FALSE)*VLOOKUP('Vannbehandling - Resultater'!A32,'Vannbehandling - Input'!C34:E127,3,FALSE)</f>
        <v>0</v>
      </c>
      <c r="C32" s="939">
        <f t="shared" si="2"/>
        <v>0</v>
      </c>
      <c r="H32" s="316"/>
    </row>
    <row r="33" spans="1:8" x14ac:dyDescent="0.3">
      <c r="A33" s="680" t="s">
        <v>46</v>
      </c>
      <c r="B33" s="528" t="s">
        <v>326</v>
      </c>
      <c r="C33" s="405"/>
      <c r="H33" s="316"/>
    </row>
    <row r="34" spans="1:8" x14ac:dyDescent="0.3">
      <c r="A34" s="373" t="s">
        <v>47</v>
      </c>
      <c r="B34" s="930">
        <f>VLOOKUP('Vannbehandling - Resultater'!A34,'Vann og Avløp-utslippsfaktorer'!$A$3:$D$82,4,FALSE)*VLOOKUP('Vannbehandling - Resultater'!A34,'Vannbehandling - Input'!C36:E129,3,FALSE)</f>
        <v>0</v>
      </c>
      <c r="C34" s="935">
        <f t="shared" si="2"/>
        <v>0</v>
      </c>
      <c r="H34" s="316"/>
    </row>
    <row r="35" spans="1:8" x14ac:dyDescent="0.3">
      <c r="A35" s="373" t="s">
        <v>48</v>
      </c>
      <c r="B35" s="930">
        <f>VLOOKUP('Vannbehandling - Resultater'!A35,'Vann og Avløp-utslippsfaktorer'!$A$3:$D$82,4,FALSE)*VLOOKUP('Vannbehandling - Resultater'!A35,'Vannbehandling - Input'!C37:E130,3,FALSE)</f>
        <v>0</v>
      </c>
      <c r="C35" s="931">
        <f t="shared" si="2"/>
        <v>0</v>
      </c>
      <c r="H35" s="316"/>
    </row>
    <row r="36" spans="1:8" x14ac:dyDescent="0.3">
      <c r="A36" s="373" t="s">
        <v>49</v>
      </c>
      <c r="B36" s="930">
        <f>VLOOKUP('Vannbehandling - Resultater'!A36,'Vann og Avløp-utslippsfaktorer'!$A$3:$D$82,4,FALSE)*VLOOKUP('Vannbehandling - Resultater'!A36,'Vannbehandling - Input'!C38:E131,3,FALSE)</f>
        <v>0</v>
      </c>
      <c r="C36" s="931">
        <f t="shared" si="2"/>
        <v>0</v>
      </c>
      <c r="H36" s="316"/>
    </row>
    <row r="37" spans="1:8" x14ac:dyDescent="0.3">
      <c r="A37" s="373" t="s">
        <v>50</v>
      </c>
      <c r="B37" s="930">
        <f>VLOOKUP('Vannbehandling - Resultater'!A37,'Vann og Avløp-utslippsfaktorer'!$A$3:$D$82,4,FALSE)*VLOOKUP('Vannbehandling - Resultater'!A37,'Vannbehandling - Input'!C39:E132,3,FALSE)</f>
        <v>0</v>
      </c>
      <c r="C37" s="937">
        <f t="shared" si="2"/>
        <v>0</v>
      </c>
      <c r="H37" s="316"/>
    </row>
    <row r="38" spans="1:8" x14ac:dyDescent="0.3">
      <c r="A38" s="680" t="s">
        <v>502</v>
      </c>
      <c r="B38" s="528" t="s">
        <v>326</v>
      </c>
      <c r="C38" s="405"/>
      <c r="H38" s="316"/>
    </row>
    <row r="39" spans="1:8" x14ac:dyDescent="0.3">
      <c r="A39" s="373" t="s">
        <v>503</v>
      </c>
      <c r="B39" s="934">
        <f>VLOOKUP('Vannbehandling - Resultater'!A39,'Vann og Avløp-utslippsfaktorer'!$A$3:$D$82,4,FALSE)*VLOOKUP('Vannbehandling - Resultater'!A39,'Vannbehandling - Input'!C41:E134,3,FALSE)</f>
        <v>0</v>
      </c>
      <c r="C39" s="935">
        <f t="shared" si="2"/>
        <v>0</v>
      </c>
      <c r="H39" s="316"/>
    </row>
    <row r="40" spans="1:8" ht="15" thickBot="1" x14ac:dyDescent="0.35">
      <c r="A40" s="376" t="s">
        <v>602</v>
      </c>
      <c r="B40" s="932">
        <f>VLOOKUP('Vannbehandling - Resultater'!A40,'Vann og Avløp-utslippsfaktorer'!$A$3:$D$82,4,FALSE)*VLOOKUP('Vannbehandling - Resultater'!A40,'Vannbehandling - Input'!C42:E135,3,FALSE)</f>
        <v>0</v>
      </c>
      <c r="C40" s="933">
        <f t="shared" si="2"/>
        <v>0</v>
      </c>
      <c r="D40" s="318"/>
      <c r="E40" s="318"/>
      <c r="F40" s="318"/>
      <c r="G40" s="318"/>
      <c r="H40" s="320"/>
    </row>
    <row r="41" spans="1:8" ht="15" thickBot="1" x14ac:dyDescent="0.35"/>
    <row r="42" spans="1:8" ht="15.6" x14ac:dyDescent="0.3">
      <c r="A42" s="695" t="s">
        <v>316</v>
      </c>
      <c r="B42" s="419" t="s">
        <v>326</v>
      </c>
      <c r="C42" s="458"/>
      <c r="D42" s="381"/>
      <c r="E42" s="458"/>
      <c r="F42" s="458"/>
      <c r="G42" s="458"/>
      <c r="H42" s="459"/>
    </row>
    <row r="43" spans="1:8" x14ac:dyDescent="0.3">
      <c r="A43" s="373" t="s">
        <v>317</v>
      </c>
      <c r="B43" s="924">
        <f>VLOOKUP('Vannbehandling - Resultater'!A43,'Vann og Avløp-utslippsfaktorer'!$A$3:$D$82,4,FALSE)*VLOOKUP('Vannbehandling - Resultater'!A43,'Vannbehandling - Input'!C45:E135,3,FALSE)</f>
        <v>0</v>
      </c>
      <c r="C43" s="935">
        <f t="shared" ref="C43:C49" si="3">B43</f>
        <v>0</v>
      </c>
      <c r="D43" s="373"/>
      <c r="H43" s="316"/>
    </row>
    <row r="44" spans="1:8" x14ac:dyDescent="0.3">
      <c r="A44" s="373" t="s">
        <v>318</v>
      </c>
      <c r="B44" s="924">
        <f>VLOOKUP('Vannbehandling - Resultater'!A44,'Vann og Avløp-utslippsfaktorer'!$A$3:$D$82,4,FALSE)*VLOOKUP('Vannbehandling - Resultater'!A44,'Vannbehandling - Input'!C46:E136,3,FALSE)</f>
        <v>0</v>
      </c>
      <c r="C44" s="925">
        <f t="shared" si="3"/>
        <v>0</v>
      </c>
      <c r="D44" s="373"/>
      <c r="H44" s="316"/>
    </row>
    <row r="45" spans="1:8" x14ac:dyDescent="0.3">
      <c r="A45" s="373" t="s">
        <v>319</v>
      </c>
      <c r="B45" s="924">
        <f>VLOOKUP('Vannbehandling - Resultater'!A45,'Vann og Avløp-utslippsfaktorer'!$A$3:$D$82,4,FALSE)*VLOOKUP('Vannbehandling - Resultater'!A45,'Vannbehandling - Input'!C47:E137,3,FALSE)</f>
        <v>0</v>
      </c>
      <c r="C45" s="925">
        <f t="shared" si="3"/>
        <v>0</v>
      </c>
      <c r="D45" s="373"/>
      <c r="H45" s="316"/>
    </row>
    <row r="46" spans="1:8" x14ac:dyDescent="0.3">
      <c r="A46" s="373" t="s">
        <v>257</v>
      </c>
      <c r="B46" s="924">
        <f>VLOOKUP('Vannbehandling - Resultater'!A46,'Vann og Avløp-utslippsfaktorer'!$A$3:$D$82,4,FALSE)*VLOOKUP('Vannbehandling - Resultater'!A46,'Vannbehandling - Input'!C48:E138,3,FALSE)</f>
        <v>0</v>
      </c>
      <c r="C46" s="925">
        <f t="shared" si="3"/>
        <v>0</v>
      </c>
      <c r="D46" s="373"/>
      <c r="H46" s="316"/>
    </row>
    <row r="47" spans="1:8" x14ac:dyDescent="0.3">
      <c r="A47" s="373" t="s">
        <v>320</v>
      </c>
      <c r="B47" s="924">
        <f>VLOOKUP('Vannbehandling - Resultater'!A47,'Vann og Avløp-utslippsfaktorer'!$A$3:$D$82,4,FALSE)*VLOOKUP('Vannbehandling - Resultater'!A47,'Vannbehandling - Input'!C49:E139,3,FALSE)</f>
        <v>0</v>
      </c>
      <c r="C47" s="925">
        <f t="shared" si="3"/>
        <v>0</v>
      </c>
      <c r="D47" s="373"/>
      <c r="H47" s="316"/>
    </row>
    <row r="48" spans="1:8" x14ac:dyDescent="0.3">
      <c r="A48" s="373" t="s">
        <v>281</v>
      </c>
      <c r="B48" s="924">
        <f>VLOOKUP('Vannbehandling - Resultater'!A48,'Vann og Avløp-utslippsfaktorer'!$A$3:$D$82,4,FALSE)*VLOOKUP('Vannbehandling - Resultater'!A48,'Vannbehandling - Input'!C50:E140,3,FALSE)</f>
        <v>0</v>
      </c>
      <c r="C48" s="925">
        <f t="shared" si="3"/>
        <v>0</v>
      </c>
      <c r="D48" s="373"/>
      <c r="H48" s="316"/>
    </row>
    <row r="49" spans="1:8" ht="15" thickBot="1" x14ac:dyDescent="0.35">
      <c r="A49" s="376" t="s">
        <v>282</v>
      </c>
      <c r="B49" s="926">
        <f>VLOOKUP('Vannbehandling - Resultater'!A49,'Vann og Avløp-utslippsfaktorer'!$A$3:$D$82,4,FALSE)*VLOOKUP('Vannbehandling - Resultater'!A49,'Vannbehandling - Input'!C51:E141,3,FALSE)</f>
        <v>0</v>
      </c>
      <c r="C49" s="927">
        <f t="shared" si="3"/>
        <v>0</v>
      </c>
      <c r="D49" s="376"/>
      <c r="E49" s="318"/>
      <c r="F49" s="318"/>
      <c r="G49" s="318"/>
      <c r="H49" s="320"/>
    </row>
    <row r="50" spans="1:8" ht="15" thickBot="1" x14ac:dyDescent="0.35"/>
    <row r="51" spans="1:8" ht="15.6" x14ac:dyDescent="0.3">
      <c r="A51" s="703" t="s">
        <v>402</v>
      </c>
      <c r="B51" s="694" t="s">
        <v>326</v>
      </c>
      <c r="C51" s="704"/>
      <c r="D51" s="458"/>
      <c r="E51" s="458"/>
      <c r="F51" s="458"/>
      <c r="G51" s="458"/>
      <c r="H51" s="459"/>
    </row>
    <row r="52" spans="1:8" x14ac:dyDescent="0.3">
      <c r="A52" s="373" t="s">
        <v>303</v>
      </c>
      <c r="B52" s="930">
        <f>VLOOKUP('Vannbehandling - Resultater'!A52,'Vann og Avløp-utslippsfaktorer'!$A$3:$D$82,4,FALSE)*VLOOKUP('Vannbehandling - Resultater'!A52,'Vannbehandling - Input'!C54:E144,3,FALSE)</f>
        <v>0</v>
      </c>
      <c r="C52" s="935">
        <f t="shared" ref="C52:C56" si="4">B52</f>
        <v>0</v>
      </c>
      <c r="H52" s="316"/>
    </row>
    <row r="53" spans="1:8" ht="15.6" x14ac:dyDescent="0.35">
      <c r="A53" s="373" t="s">
        <v>304</v>
      </c>
      <c r="B53" s="930">
        <f>VLOOKUP('Vannbehandling - Resultater'!A53,'Vann og Avløp-utslippsfaktorer'!$A$3:$D$82,4,FALSE)*VLOOKUP('Vannbehandling - Resultater'!A53,'Vannbehandling - Input'!C55:E145,3,FALSE)</f>
        <v>0</v>
      </c>
      <c r="C53" s="931">
        <f t="shared" si="4"/>
        <v>0</v>
      </c>
      <c r="H53" s="316"/>
    </row>
    <row r="54" spans="1:8" ht="15.6" x14ac:dyDescent="0.35">
      <c r="A54" s="373" t="s">
        <v>306</v>
      </c>
      <c r="B54" s="930">
        <f>VLOOKUP('Vannbehandling - Resultater'!A54,'Vann og Avløp-utslippsfaktorer'!$A$3:$D$82,4,FALSE)*VLOOKUP('Vannbehandling - Resultater'!A54,'Vannbehandling - Input'!C56:E146,3,FALSE)</f>
        <v>0</v>
      </c>
      <c r="C54" s="931">
        <f t="shared" si="4"/>
        <v>0</v>
      </c>
      <c r="H54" s="316"/>
    </row>
    <row r="55" spans="1:8" x14ac:dyDescent="0.3">
      <c r="A55" s="373" t="s">
        <v>305</v>
      </c>
      <c r="B55" s="930">
        <f>VLOOKUP('Vannbehandling - Resultater'!A55,'Vann og Avløp-utslippsfaktorer'!$A$3:$D$82,4,FALSE)*VLOOKUP('Vannbehandling - Resultater'!A55,'Vannbehandling - Input'!C57:E147,3,FALSE)</f>
        <v>0</v>
      </c>
      <c r="C55" s="931">
        <f t="shared" si="4"/>
        <v>0</v>
      </c>
      <c r="H55" s="316"/>
    </row>
    <row r="56" spans="1:8" ht="15" thickBot="1" x14ac:dyDescent="0.35">
      <c r="A56" s="376" t="s">
        <v>540</v>
      </c>
      <c r="B56" s="932">
        <f>VLOOKUP('Vannbehandling - Resultater'!A56,'Vann og Avløp-utslippsfaktorer'!$A$3:$D$82,4,FALSE)*VLOOKUP('Vannbehandling - Resultater'!A56,'Vannbehandling - Input'!C58:E148,3,FALSE)</f>
        <v>0</v>
      </c>
      <c r="C56" s="933">
        <f t="shared" si="4"/>
        <v>0</v>
      </c>
      <c r="D56" s="318"/>
      <c r="E56" s="318"/>
      <c r="F56" s="318"/>
      <c r="G56" s="318"/>
      <c r="H56" s="320"/>
    </row>
    <row r="57" spans="1:8" ht="15" thickBot="1" x14ac:dyDescent="0.35"/>
    <row r="58" spans="1:8" ht="15.6" x14ac:dyDescent="0.3">
      <c r="A58" s="654" t="s">
        <v>314</v>
      </c>
      <c r="B58" s="403" t="s">
        <v>326</v>
      </c>
      <c r="C58" s="419"/>
      <c r="D58" s="458"/>
      <c r="E58" s="458"/>
      <c r="F58" s="458"/>
      <c r="G58" s="458"/>
      <c r="H58" s="459"/>
    </row>
    <row r="59" spans="1:8" x14ac:dyDescent="0.3">
      <c r="A59" s="373" t="s">
        <v>622</v>
      </c>
      <c r="B59" s="931">
        <f>VLOOKUP('Vannbehandling - Resultater'!A59,'Vann og Avløp-utslippsfaktorer'!$A$3:$D$90,4,FALSE)*VLOOKUP('Vannbehandling - Resultater'!A59,'Vannbehandling - Input'!$C$62:$E$150,3,FALSE)</f>
        <v>0</v>
      </c>
      <c r="C59" s="940">
        <f t="shared" ref="C59:C80" si="5">B59</f>
        <v>0</v>
      </c>
      <c r="D59" s="313"/>
      <c r="E59" s="313"/>
      <c r="F59" s="313"/>
      <c r="G59" s="313"/>
      <c r="H59" s="316"/>
    </row>
    <row r="60" spans="1:8" x14ac:dyDescent="0.3">
      <c r="A60" s="373" t="s">
        <v>909</v>
      </c>
      <c r="B60" s="931">
        <f>VLOOKUP('Vannbehandling - Resultater'!A60,'Vann og Avløp-utslippsfaktorer'!$A$3:$D$90,4,FALSE)*VLOOKUP('Vannbehandling - Resultater'!A60,'Vannbehandling - Input'!$C$63:$E$150,3,FALSE)</f>
        <v>0</v>
      </c>
      <c r="C60" s="940">
        <f t="shared" si="5"/>
        <v>0</v>
      </c>
      <c r="D60" s="313"/>
      <c r="H60" s="316"/>
    </row>
    <row r="61" spans="1:8" x14ac:dyDescent="0.3">
      <c r="A61" s="373" t="s">
        <v>910</v>
      </c>
      <c r="B61" s="931">
        <f>VLOOKUP('Vannbehandling - Resultater'!A61,'Vann og Avløp-utslippsfaktorer'!$A$3:$D$90,4,FALSE)*VLOOKUP('Vannbehandling - Resultater'!A61,'Vannbehandling - Input'!$C$63:$E$150,3,FALSE)</f>
        <v>0</v>
      </c>
      <c r="C61" s="940">
        <f t="shared" si="5"/>
        <v>0</v>
      </c>
      <c r="D61" s="313"/>
      <c r="H61" s="316"/>
    </row>
    <row r="62" spans="1:8" x14ac:dyDescent="0.3">
      <c r="A62" s="373" t="s">
        <v>911</v>
      </c>
      <c r="B62" s="931">
        <f>VLOOKUP('Vannbehandling - Resultater'!A62,'Vann og Avløp-utslippsfaktorer'!$A$3:$D$90,4,FALSE)*VLOOKUP('Vannbehandling - Resultater'!A62,'Vannbehandling - Input'!$C$63:$E$150,3,FALSE)</f>
        <v>0</v>
      </c>
      <c r="C62" s="940">
        <f t="shared" ref="C62:C63" si="6">B62</f>
        <v>0</v>
      </c>
      <c r="D62" s="313"/>
      <c r="H62" s="316"/>
    </row>
    <row r="63" spans="1:8" x14ac:dyDescent="0.3">
      <c r="A63" s="373" t="s">
        <v>930</v>
      </c>
      <c r="B63" s="931">
        <f>VLOOKUP('Vannbehandling - Resultater'!A63,'Vann og Avløp-utslippsfaktorer'!$A$3:$D$90,4,FALSE)*VLOOKUP('Vannbehandling - Resultater'!A63,'Vannbehandling - Input'!$C$63:$E$150,3,FALSE)</f>
        <v>0</v>
      </c>
      <c r="C63" s="940">
        <f t="shared" si="6"/>
        <v>0</v>
      </c>
      <c r="D63" s="313"/>
      <c r="H63" s="316"/>
    </row>
    <row r="64" spans="1:8" x14ac:dyDescent="0.3">
      <c r="A64" s="373" t="s">
        <v>22</v>
      </c>
      <c r="B64" s="931">
        <f>VLOOKUP('Vannbehandling - Resultater'!A64,'Vann og Avløp-utslippsfaktorer'!$A$3:$D$90,4,FALSE)*VLOOKUP('Vannbehandling - Resultater'!A64,'Vannbehandling - Input'!$C$63:$E$150,3,FALSE)</f>
        <v>0</v>
      </c>
      <c r="C64" s="940">
        <f t="shared" si="5"/>
        <v>0</v>
      </c>
      <c r="D64" s="313"/>
      <c r="H64" s="316"/>
    </row>
    <row r="65" spans="1:8" x14ac:dyDescent="0.3">
      <c r="A65" s="373" t="s">
        <v>21</v>
      </c>
      <c r="B65" s="931">
        <f>VLOOKUP('Vannbehandling - Resultater'!A65,'Vann og Avløp-utslippsfaktorer'!$A$3:$D$90,4,FALSE)*VLOOKUP('Vannbehandling - Resultater'!A65,'Vannbehandling - Input'!$C$63:$E$150,3,FALSE)</f>
        <v>0</v>
      </c>
      <c r="C65" s="940">
        <f t="shared" si="5"/>
        <v>0</v>
      </c>
      <c r="D65" s="313"/>
      <c r="H65" s="316"/>
    </row>
    <row r="66" spans="1:8" x14ac:dyDescent="0.3">
      <c r="A66" s="373" t="s">
        <v>386</v>
      </c>
      <c r="B66" s="931">
        <f>VLOOKUP('Vannbehandling - Resultater'!A66,'Vann og Avløp-utslippsfaktorer'!$A$3:$D$90,4,FALSE)*VLOOKUP('Vannbehandling - Resultater'!A66,'Vannbehandling - Input'!$C$63:$E$150,3,FALSE)</f>
        <v>0</v>
      </c>
      <c r="C66" s="940">
        <f t="shared" si="5"/>
        <v>0</v>
      </c>
      <c r="D66" s="313"/>
      <c r="H66" s="316"/>
    </row>
    <row r="67" spans="1:8" x14ac:dyDescent="0.3">
      <c r="A67" s="373" t="s">
        <v>313</v>
      </c>
      <c r="B67" s="931">
        <f>VLOOKUP('Vannbehandling - Resultater'!A67,'Vann og Avløp-utslippsfaktorer'!$A$3:$D$90,4,FALSE)*VLOOKUP('Vannbehandling - Resultater'!A67,'Vannbehandling - Input'!$C$63:$E$150,3,FALSE)</f>
        <v>0</v>
      </c>
      <c r="C67" s="940">
        <f t="shared" si="5"/>
        <v>0</v>
      </c>
      <c r="D67" s="313"/>
      <c r="H67" s="316"/>
    </row>
    <row r="68" spans="1:8" x14ac:dyDescent="0.3">
      <c r="A68" s="373" t="s">
        <v>299</v>
      </c>
      <c r="B68" s="931">
        <f>VLOOKUP('Vannbehandling - Resultater'!A68,'Vann og Avløp-utslippsfaktorer'!$A$3:$D$90,4,FALSE)*VLOOKUP('Vannbehandling - Resultater'!A68,'Vannbehandling - Input'!$C$63:$E$150,3,FALSE)</f>
        <v>0</v>
      </c>
      <c r="C68" s="940">
        <f t="shared" si="5"/>
        <v>0</v>
      </c>
      <c r="D68" s="313"/>
      <c r="H68" s="316"/>
    </row>
    <row r="69" spans="1:8" x14ac:dyDescent="0.3">
      <c r="A69" s="373" t="s">
        <v>500</v>
      </c>
      <c r="B69" s="931">
        <f>VLOOKUP('Vannbehandling - Resultater'!A69,'Vann og Avløp-utslippsfaktorer'!$A$3:$D$90,4,FALSE)*VLOOKUP('Vannbehandling - Resultater'!A69,'Vannbehandling - Input'!$C$63:$E$150,3,FALSE)</f>
        <v>0</v>
      </c>
      <c r="C69" s="940">
        <f t="shared" si="5"/>
        <v>0</v>
      </c>
      <c r="D69" s="313"/>
      <c r="H69" s="316"/>
    </row>
    <row r="70" spans="1:8" x14ac:dyDescent="0.3">
      <c r="A70" s="373" t="s">
        <v>566</v>
      </c>
      <c r="B70" s="931">
        <f>VLOOKUP('Vannbehandling - Resultater'!A70,'Vann og Avløp-utslippsfaktorer'!$A$3:$D$90,4,FALSE)*VLOOKUP('Vannbehandling - Resultater'!A70,'Vannbehandling - Input'!$C$63:$E$150,3,FALSE)</f>
        <v>0</v>
      </c>
      <c r="C70" s="940">
        <f t="shared" si="5"/>
        <v>0</v>
      </c>
      <c r="D70" s="313"/>
      <c r="H70" s="316"/>
    </row>
    <row r="71" spans="1:8" x14ac:dyDescent="0.3">
      <c r="A71" s="373" t="s">
        <v>286</v>
      </c>
      <c r="B71" s="931">
        <f>VLOOKUP('Vannbehandling - Resultater'!A71,'Vann og Avløp-utslippsfaktorer'!$A$3:$D$90,4,FALSE)*VLOOKUP('Vannbehandling - Resultater'!A71,'Vannbehandling - Input'!$C$63:$E$150,3,FALSE)</f>
        <v>0</v>
      </c>
      <c r="C71" s="940">
        <f t="shared" si="5"/>
        <v>0</v>
      </c>
      <c r="D71" s="313"/>
      <c r="H71" s="316"/>
    </row>
    <row r="72" spans="1:8" x14ac:dyDescent="0.3">
      <c r="A72" s="373" t="s">
        <v>975</v>
      </c>
      <c r="B72" s="931">
        <f>VLOOKUP('Vannbehandling - Resultater'!A72,'Vann og Avløp-utslippsfaktorer'!$A$3:$D$90,4,FALSE)*VLOOKUP('Vannbehandling - Resultater'!A72,'Vannbehandling - Input'!$C$63:$E$150,3,FALSE)</f>
        <v>0</v>
      </c>
      <c r="C72" s="940">
        <f t="shared" ref="C72" si="7">B72</f>
        <v>0</v>
      </c>
      <c r="D72" s="313"/>
      <c r="H72" s="316"/>
    </row>
    <row r="73" spans="1:8" x14ac:dyDescent="0.3">
      <c r="A73" s="373" t="s">
        <v>302</v>
      </c>
      <c r="B73" s="931">
        <f>VLOOKUP('Vannbehandling - Resultater'!A73,'Vann og Avløp-utslippsfaktorer'!$A$3:$D$90,4,FALSE)*VLOOKUP('Vannbehandling - Resultater'!A73,'Vannbehandling - Input'!$C$63:$E$150,3,FALSE)</f>
        <v>0</v>
      </c>
      <c r="C73" s="940">
        <f t="shared" si="5"/>
        <v>0</v>
      </c>
      <c r="D73" s="313"/>
      <c r="H73" s="316"/>
    </row>
    <row r="74" spans="1:8" x14ac:dyDescent="0.3">
      <c r="A74" s="373" t="s">
        <v>23</v>
      </c>
      <c r="B74" s="931">
        <f>VLOOKUP('Vannbehandling - Resultater'!A74,'Vann og Avløp-utslippsfaktorer'!$A$3:$D$90,4,FALSE)*VLOOKUP('Vannbehandling - Resultater'!A74,'Vannbehandling - Input'!$C$63:$E$150,3,FALSE)</f>
        <v>0</v>
      </c>
      <c r="C74" s="940">
        <f t="shared" si="5"/>
        <v>0</v>
      </c>
      <c r="D74" s="313"/>
      <c r="H74" s="316"/>
    </row>
    <row r="75" spans="1:8" x14ac:dyDescent="0.3">
      <c r="A75" s="373" t="s">
        <v>285</v>
      </c>
      <c r="B75" s="931">
        <f>VLOOKUP('Vannbehandling - Resultater'!A75,'Vann og Avløp-utslippsfaktorer'!$A$3:$D$90,4,FALSE)*VLOOKUP('Vannbehandling - Resultater'!A75,'Vannbehandling - Input'!$C$63:$E$150,3,FALSE)</f>
        <v>0</v>
      </c>
      <c r="C75" s="940">
        <f t="shared" si="5"/>
        <v>0</v>
      </c>
      <c r="D75" s="313"/>
      <c r="H75" s="316"/>
    </row>
    <row r="76" spans="1:8" x14ac:dyDescent="0.3">
      <c r="A76" s="373" t="s">
        <v>287</v>
      </c>
      <c r="B76" s="931">
        <f>VLOOKUP('Vannbehandling - Resultater'!A76,'Vann og Avløp-utslippsfaktorer'!$A$3:$D$90,4,FALSE)*VLOOKUP('Vannbehandling - Resultater'!A76,'Vannbehandling - Input'!$C$63:$E$150,3,FALSE)</f>
        <v>0</v>
      </c>
      <c r="C76" s="940">
        <f t="shared" si="5"/>
        <v>0</v>
      </c>
      <c r="D76" s="313"/>
      <c r="H76" s="316"/>
    </row>
    <row r="77" spans="1:8" x14ac:dyDescent="0.3">
      <c r="A77" s="373" t="s">
        <v>311</v>
      </c>
      <c r="B77" s="931">
        <f>VLOOKUP('Vannbehandling - Resultater'!A77,'Vann og Avløp-utslippsfaktorer'!$A$3:$D$90,4,FALSE)*VLOOKUP('Vannbehandling - Resultater'!A77,'Vannbehandling - Input'!$C$63:$E$150,3,FALSE)</f>
        <v>0</v>
      </c>
      <c r="C77" s="940">
        <f t="shared" si="5"/>
        <v>0</v>
      </c>
      <c r="D77" s="313"/>
      <c r="H77" s="316"/>
    </row>
    <row r="78" spans="1:8" x14ac:dyDescent="0.3">
      <c r="A78" s="373" t="s">
        <v>301</v>
      </c>
      <c r="B78" s="931">
        <f>VLOOKUP('Vannbehandling - Resultater'!A78,'Vann og Avløp-utslippsfaktorer'!$A$3:$D$90,4,FALSE)*VLOOKUP('Vannbehandling - Resultater'!A78,'Vannbehandling - Input'!$C$63:$E$150,3,FALSE)</f>
        <v>0</v>
      </c>
      <c r="C78" s="940">
        <f t="shared" si="5"/>
        <v>0</v>
      </c>
      <c r="D78" s="313"/>
      <c r="H78" s="316"/>
    </row>
    <row r="79" spans="1:8" x14ac:dyDescent="0.3">
      <c r="A79" s="373" t="s">
        <v>312</v>
      </c>
      <c r="B79" s="931">
        <f>VLOOKUP('Vannbehandling - Resultater'!A79,'Vann og Avløp-utslippsfaktorer'!$A$3:$D$90,4,FALSE)*VLOOKUP('Vannbehandling - Resultater'!A79,'Vannbehandling - Input'!$C$63:$E$150,3,FALSE)</f>
        <v>0</v>
      </c>
      <c r="C79" s="940">
        <f t="shared" si="5"/>
        <v>0</v>
      </c>
      <c r="D79" s="313"/>
      <c r="H79" s="316"/>
    </row>
    <row r="80" spans="1:8" ht="15" thickBot="1" x14ac:dyDescent="0.35">
      <c r="A80" s="376" t="s">
        <v>498</v>
      </c>
      <c r="B80" s="933">
        <f>'Vannbehandling - Input'!E83*'Vann og Avløp-utslippsfaktorer'!D89</f>
        <v>0</v>
      </c>
      <c r="C80" s="941">
        <f t="shared" si="5"/>
        <v>0</v>
      </c>
      <c r="D80" s="318"/>
      <c r="E80" s="318"/>
      <c r="F80" s="318"/>
      <c r="G80" s="318"/>
      <c r="H80" s="320"/>
    </row>
    <row r="81" spans="1:8" ht="15" thickBot="1" x14ac:dyDescent="0.35"/>
    <row r="82" spans="1:8" ht="15.6" x14ac:dyDescent="0.3">
      <c r="A82" s="654" t="s">
        <v>690</v>
      </c>
      <c r="B82" s="403" t="s">
        <v>326</v>
      </c>
      <c r="C82" s="459"/>
      <c r="D82" s="381"/>
      <c r="E82" s="458"/>
      <c r="F82" s="458"/>
      <c r="G82" s="458"/>
      <c r="H82" s="459"/>
    </row>
    <row r="83" spans="1:8" x14ac:dyDescent="0.3">
      <c r="A83" s="868" t="str">
        <f>'Vannbehandling - Input'!C87</f>
        <v>F.eks Klor 15 %, mengde klor oppgis uten vann i tonn/år</v>
      </c>
      <c r="B83" s="931">
        <f>'Vannbehandling - Input'!E87*'Vannbehandling - Input'!B87</f>
        <v>0</v>
      </c>
      <c r="C83" s="942">
        <f>B83</f>
        <v>0</v>
      </c>
      <c r="D83" s="373"/>
      <c r="E83" s="313"/>
      <c r="F83" s="313"/>
      <c r="G83" s="313"/>
      <c r="H83" s="316"/>
    </row>
    <row r="84" spans="1:8" x14ac:dyDescent="0.3">
      <c r="A84" s="868" t="str">
        <f>'Vannbehandling - Input'!C88</f>
        <v>Skriv navn på vare her</v>
      </c>
      <c r="B84" s="931">
        <f>'Vannbehandling - Input'!E88*'Vannbehandling - Input'!B88</f>
        <v>0</v>
      </c>
      <c r="C84" s="940">
        <f>B84</f>
        <v>0</v>
      </c>
      <c r="D84" s="373"/>
      <c r="E84" s="313"/>
      <c r="F84" s="313"/>
      <c r="G84" s="313"/>
      <c r="H84" s="316"/>
    </row>
    <row r="85" spans="1:8" x14ac:dyDescent="0.3">
      <c r="A85" s="868" t="str">
        <f>'Vannbehandling - Input'!C89</f>
        <v>Skriv navn på vare her</v>
      </c>
      <c r="B85" s="931">
        <f>'Vannbehandling - Input'!E89*'Vannbehandling - Input'!B89</f>
        <v>0</v>
      </c>
      <c r="C85" s="940">
        <f t="shared" ref="C85:C91" si="8">B85</f>
        <v>0</v>
      </c>
      <c r="D85" s="373"/>
      <c r="E85" s="313"/>
      <c r="F85" s="313"/>
      <c r="G85" s="313"/>
      <c r="H85" s="316"/>
    </row>
    <row r="86" spans="1:8" x14ac:dyDescent="0.3">
      <c r="A86" s="868" t="str">
        <f>'Vannbehandling - Input'!C90</f>
        <v>Skriv navn på vare her</v>
      </c>
      <c r="B86" s="931">
        <f>'Vannbehandling - Input'!E90*'Vannbehandling - Input'!B90</f>
        <v>0</v>
      </c>
      <c r="C86" s="940">
        <f t="shared" si="8"/>
        <v>0</v>
      </c>
      <c r="D86" s="373"/>
      <c r="E86" s="313"/>
      <c r="F86" s="313"/>
      <c r="G86" s="313"/>
      <c r="H86" s="316"/>
    </row>
    <row r="87" spans="1:8" x14ac:dyDescent="0.3">
      <c r="A87" s="868" t="str">
        <f>'Vannbehandling - Input'!C91</f>
        <v>Skriv navn på vare her</v>
      </c>
      <c r="B87" s="931">
        <f>'Vannbehandling - Input'!E91*'Vannbehandling - Input'!B91</f>
        <v>0</v>
      </c>
      <c r="C87" s="940">
        <f t="shared" si="8"/>
        <v>0</v>
      </c>
      <c r="D87" s="373"/>
      <c r="E87" s="313"/>
      <c r="F87" s="313"/>
      <c r="G87" s="313"/>
      <c r="H87" s="316"/>
    </row>
    <row r="88" spans="1:8" x14ac:dyDescent="0.3">
      <c r="A88" s="868" t="str">
        <f>'Vannbehandling - Input'!C92</f>
        <v>Skriv navn på vare her</v>
      </c>
      <c r="B88" s="931">
        <f>'Vannbehandling - Input'!E92*'Vannbehandling - Input'!B92</f>
        <v>0</v>
      </c>
      <c r="C88" s="940">
        <f t="shared" si="8"/>
        <v>0</v>
      </c>
      <c r="D88" s="373"/>
      <c r="E88" s="313"/>
      <c r="F88" s="313"/>
      <c r="G88" s="313"/>
      <c r="H88" s="316"/>
    </row>
    <row r="89" spans="1:8" x14ac:dyDescent="0.3">
      <c r="A89" s="868" t="str">
        <f>'Vannbehandling - Input'!C93</f>
        <v>Skriv navn på vare her</v>
      </c>
      <c r="B89" s="931">
        <f>'Vannbehandling - Input'!E93*'Vannbehandling - Input'!B93</f>
        <v>0</v>
      </c>
      <c r="C89" s="940">
        <f t="shared" si="8"/>
        <v>0</v>
      </c>
      <c r="D89" s="373"/>
      <c r="E89" s="313"/>
      <c r="F89" s="313"/>
      <c r="G89" s="313"/>
      <c r="H89" s="316"/>
    </row>
    <row r="90" spans="1:8" x14ac:dyDescent="0.3">
      <c r="A90" s="868" t="str">
        <f>'Vannbehandling - Input'!C94</f>
        <v>Skriv navn på vare her</v>
      </c>
      <c r="B90" s="931">
        <f>'Vannbehandling - Input'!E94*'Vannbehandling - Input'!B94</f>
        <v>0</v>
      </c>
      <c r="C90" s="940">
        <f t="shared" si="8"/>
        <v>0</v>
      </c>
      <c r="D90" s="373"/>
      <c r="E90" s="313"/>
      <c r="F90" s="313"/>
      <c r="G90" s="313"/>
      <c r="H90" s="316"/>
    </row>
    <row r="91" spans="1:8" x14ac:dyDescent="0.3">
      <c r="A91" s="868" t="str">
        <f>'Vannbehandling - Input'!C95</f>
        <v>Skriv navn på vare her</v>
      </c>
      <c r="B91" s="931">
        <f>'Vannbehandling - Input'!E95*'Vannbehandling - Input'!B95</f>
        <v>0</v>
      </c>
      <c r="C91" s="940">
        <f t="shared" si="8"/>
        <v>0</v>
      </c>
      <c r="D91" s="373"/>
      <c r="E91" s="313"/>
      <c r="F91" s="313"/>
      <c r="G91" s="313"/>
      <c r="H91" s="316"/>
    </row>
    <row r="92" spans="1:8" ht="15" thickBot="1" x14ac:dyDescent="0.35">
      <c r="A92" s="915" t="str">
        <f>'Vannbehandling - Input'!C96</f>
        <v>Skriv navn på vare her</v>
      </c>
      <c r="B92" s="933">
        <f>'Vannbehandling - Input'!E96*'Vannbehandling - Input'!B96</f>
        <v>0</v>
      </c>
      <c r="C92" s="941">
        <f>B92</f>
        <v>0</v>
      </c>
      <c r="D92" s="376"/>
      <c r="E92" s="318"/>
      <c r="F92" s="318"/>
      <c r="G92" s="318"/>
      <c r="H92" s="320"/>
    </row>
    <row r="93" spans="1:8" ht="15" thickBot="1" x14ac:dyDescent="0.35">
      <c r="A93" s="373"/>
      <c r="B93" s="705"/>
      <c r="C93" s="705"/>
    </row>
    <row r="94" spans="1:8" ht="15.6" x14ac:dyDescent="0.3">
      <c r="A94" s="695" t="s">
        <v>26</v>
      </c>
      <c r="B94" s="459" t="s">
        <v>326</v>
      </c>
      <c r="C94" s="458"/>
      <c r="D94" s="381"/>
      <c r="E94" s="458"/>
      <c r="F94" s="458"/>
      <c r="G94" s="458"/>
      <c r="H94" s="459"/>
    </row>
    <row r="95" spans="1:8" x14ac:dyDescent="0.3">
      <c r="A95" s="706" t="s">
        <v>15</v>
      </c>
      <c r="B95" s="942">
        <f>SUM('Vannbehandling - Input'!AH14:AP18)</f>
        <v>0</v>
      </c>
      <c r="C95" s="935">
        <f t="shared" ref="C95:C101" si="9">B95</f>
        <v>0</v>
      </c>
      <c r="D95" s="373"/>
      <c r="E95" s="313"/>
      <c r="F95" s="313"/>
      <c r="G95" s="313"/>
      <c r="H95" s="316"/>
    </row>
    <row r="96" spans="1:8" x14ac:dyDescent="0.3">
      <c r="A96" s="472" t="s">
        <v>401</v>
      </c>
      <c r="B96" s="940">
        <f>SUM('Vannbehandling - Input'!AH21:AP42)</f>
        <v>0</v>
      </c>
      <c r="C96" s="943">
        <f t="shared" si="9"/>
        <v>0</v>
      </c>
      <c r="D96" s="373"/>
      <c r="E96" s="313"/>
      <c r="F96" s="313"/>
      <c r="G96" s="313"/>
      <c r="H96" s="316"/>
    </row>
    <row r="97" spans="1:8" x14ac:dyDescent="0.3">
      <c r="A97" s="472" t="s">
        <v>316</v>
      </c>
      <c r="B97" s="940">
        <f>SUM('Vannbehandling - Input'!AH45:AP51)</f>
        <v>0</v>
      </c>
      <c r="C97" s="943">
        <f t="shared" si="9"/>
        <v>0</v>
      </c>
      <c r="D97" s="373"/>
      <c r="E97" s="313"/>
      <c r="F97" s="313"/>
      <c r="G97" s="313"/>
      <c r="H97" s="316"/>
    </row>
    <row r="98" spans="1:8" x14ac:dyDescent="0.3">
      <c r="A98" s="472" t="s">
        <v>402</v>
      </c>
      <c r="B98" s="940">
        <f>SUM('Vannbehandling - Input'!AH54:AP58)</f>
        <v>0</v>
      </c>
      <c r="C98" s="943">
        <f t="shared" si="9"/>
        <v>0</v>
      </c>
      <c r="D98" s="373"/>
      <c r="E98" s="313"/>
      <c r="F98" s="313"/>
      <c r="G98" s="313"/>
      <c r="H98" s="316"/>
    </row>
    <row r="99" spans="1:8" x14ac:dyDescent="0.3">
      <c r="A99" s="472" t="s">
        <v>314</v>
      </c>
      <c r="B99" s="940">
        <f>SUM('Vannbehandling - Input'!AH62:AP83)</f>
        <v>0</v>
      </c>
      <c r="C99" s="943">
        <f t="shared" si="9"/>
        <v>0</v>
      </c>
      <c r="D99" s="373"/>
      <c r="E99" s="313"/>
      <c r="F99" s="313"/>
      <c r="G99" s="313"/>
      <c r="H99" s="316"/>
    </row>
    <row r="100" spans="1:8" x14ac:dyDescent="0.3">
      <c r="A100" s="472" t="s">
        <v>690</v>
      </c>
      <c r="B100" s="940">
        <f>SUM('Vannbehandling - Input'!AH87:AP96)</f>
        <v>0</v>
      </c>
      <c r="C100" s="943">
        <f t="shared" si="9"/>
        <v>0</v>
      </c>
      <c r="D100" s="373"/>
      <c r="E100" s="313"/>
      <c r="F100" s="313"/>
      <c r="G100" s="313"/>
      <c r="H100" s="316"/>
    </row>
    <row r="101" spans="1:8" ht="15" thickBot="1" x14ac:dyDescent="0.35">
      <c r="A101" s="465" t="s">
        <v>804</v>
      </c>
      <c r="B101" s="941">
        <f>SUM('Vannbehandling - Input'!AH99:AP101)</f>
        <v>0</v>
      </c>
      <c r="C101" s="927">
        <f t="shared" si="9"/>
        <v>0</v>
      </c>
      <c r="D101" s="376"/>
      <c r="E101" s="318"/>
      <c r="F101" s="318"/>
      <c r="G101" s="318"/>
      <c r="H101" s="320"/>
    </row>
    <row r="103" spans="1:8" x14ac:dyDescent="0.3">
      <c r="A103" s="388" t="s">
        <v>375</v>
      </c>
      <c r="B103" s="388" t="s">
        <v>381</v>
      </c>
      <c r="C103" s="388"/>
      <c r="H103" s="388" t="s">
        <v>544</v>
      </c>
    </row>
    <row r="104" spans="1:8" x14ac:dyDescent="0.3">
      <c r="A104" s="388" t="s">
        <v>332</v>
      </c>
    </row>
  </sheetData>
  <sheetProtection algorithmName="SHA-512" hashValue="cJX1dUaVSTAb6ZUZEb4qTmLU2OgSTdL2LWsU0riGQzpyXmyP0cyQ1I0uE0UZmAdqttfGs9sfOC5BZuObSvXk/A==" saltValue="V3WMHmWQjoBuSHHtCeSwNQ==" spinCount="100000" sheet="1" objects="1" scenarios="1" formatColumns="0" formatRows="0"/>
  <conditionalFormatting sqref="C22:C58 C94:C101 C3:C20 C61:C81">
    <cfRule type="dataBar" priority="23">
      <dataBar showValue="0">
        <cfvo type="min"/>
        <cfvo type="max"/>
        <color rgb="FFFF555A"/>
      </dataBar>
      <extLst>
        <ext xmlns:x14="http://schemas.microsoft.com/office/spreadsheetml/2009/9/main" uri="{B025F937-C7B1-47D3-B67F-A62EFF666E3E}">
          <x14:id>{5BC08C30-90E9-4BB3-95F0-124750327E73}</x14:id>
        </ext>
      </extLst>
    </cfRule>
  </conditionalFormatting>
  <conditionalFormatting sqref="C21">
    <cfRule type="dataBar" priority="6">
      <dataBar showValue="0">
        <cfvo type="min"/>
        <cfvo type="max"/>
        <color rgb="FFFF555A"/>
      </dataBar>
      <extLst>
        <ext xmlns:x14="http://schemas.microsoft.com/office/spreadsheetml/2009/9/main" uri="{B025F937-C7B1-47D3-B67F-A62EFF666E3E}">
          <x14:id>{466C2ECF-7418-4F47-A866-E096BA5DA12D}</x14:id>
        </ext>
      </extLst>
    </cfRule>
  </conditionalFormatting>
  <conditionalFormatting sqref="C59:C60">
    <cfRule type="dataBar" priority="4">
      <dataBar showValue="0">
        <cfvo type="min"/>
        <cfvo type="max"/>
        <color rgb="FFFF555A"/>
      </dataBar>
      <extLst>
        <ext xmlns:x14="http://schemas.microsoft.com/office/spreadsheetml/2009/9/main" uri="{B025F937-C7B1-47D3-B67F-A62EFF666E3E}">
          <x14:id>{764F2670-B62F-4177-91CD-526FC6D1F322}</x14:id>
        </ext>
      </extLst>
    </cfRule>
  </conditionalFormatting>
  <conditionalFormatting sqref="C92:C93 C82">
    <cfRule type="dataBar" priority="3">
      <dataBar showValue="0">
        <cfvo type="min"/>
        <cfvo type="max"/>
        <color rgb="FFFF555A"/>
      </dataBar>
      <extLst>
        <ext xmlns:x14="http://schemas.microsoft.com/office/spreadsheetml/2009/9/main" uri="{B025F937-C7B1-47D3-B67F-A62EFF666E3E}">
          <x14:id>{DD06713E-96BD-466F-AA5E-519617E2BDA7}</x14:id>
        </ext>
      </extLst>
    </cfRule>
  </conditionalFormatting>
  <conditionalFormatting sqref="C83">
    <cfRule type="dataBar" priority="2">
      <dataBar showValue="0">
        <cfvo type="min"/>
        <cfvo type="max"/>
        <color rgb="FFFF555A"/>
      </dataBar>
      <extLst>
        <ext xmlns:x14="http://schemas.microsoft.com/office/spreadsheetml/2009/9/main" uri="{B025F937-C7B1-47D3-B67F-A62EFF666E3E}">
          <x14:id>{79319DF6-E1B9-4362-81C0-2F42011E91C4}</x14:id>
        </ext>
      </extLst>
    </cfRule>
  </conditionalFormatting>
  <conditionalFormatting sqref="C84:C91">
    <cfRule type="dataBar" priority="1">
      <dataBar showValue="0">
        <cfvo type="min"/>
        <cfvo type="max"/>
        <color rgb="FFFF555A"/>
      </dataBar>
      <extLst>
        <ext xmlns:x14="http://schemas.microsoft.com/office/spreadsheetml/2009/9/main" uri="{B025F937-C7B1-47D3-B67F-A62EFF666E3E}">
          <x14:id>{2B665AB0-DD29-474E-93EB-18C7928E362E}</x14:id>
        </ext>
      </extLst>
    </cfRule>
  </conditionalFormatting>
  <hyperlinks>
    <hyperlink ref="A103" location="Innledning!A1" display="Tilbake til forside" xr:uid="{00000000-0004-0000-0300-000000000000}"/>
    <hyperlink ref="B103" location="Sammendrag!A1" display="Sammendrag" xr:uid="{00000000-0004-0000-0300-000001000000}"/>
    <hyperlink ref="H103" location="'Transportsystem Vann - Input'!A1" display="Transportsystem Vann" xr:uid="{00000000-0004-0000-0300-000002000000}"/>
    <hyperlink ref="A104" location="'Vann og Avløp-utslippsfaktorer'!A1" display="Utslippsfaktorer" xr:uid="{00000000-0004-0000-0300-000003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5BC08C30-90E9-4BB3-95F0-124750327E73}">
            <x14:dataBar minLength="0" maxLength="100" gradient="0">
              <x14:cfvo type="autoMin"/>
              <x14:cfvo type="autoMax"/>
              <x14:negativeFillColor rgb="FFFF0000"/>
              <x14:axisColor rgb="FF000000"/>
            </x14:dataBar>
          </x14:cfRule>
          <xm:sqref>C22:C58 C94:C101 C3:C20 C61:C81</xm:sqref>
        </x14:conditionalFormatting>
        <x14:conditionalFormatting xmlns:xm="http://schemas.microsoft.com/office/excel/2006/main">
          <x14:cfRule type="dataBar" id="{466C2ECF-7418-4F47-A866-E096BA5DA12D}">
            <x14:dataBar minLength="0" maxLength="100" gradient="0">
              <x14:cfvo type="autoMin"/>
              <x14:cfvo type="autoMax"/>
              <x14:negativeFillColor rgb="FFFF0000"/>
              <x14:axisColor rgb="FF000000"/>
            </x14:dataBar>
          </x14:cfRule>
          <xm:sqref>C21</xm:sqref>
        </x14:conditionalFormatting>
        <x14:conditionalFormatting xmlns:xm="http://schemas.microsoft.com/office/excel/2006/main">
          <x14:cfRule type="dataBar" id="{764F2670-B62F-4177-91CD-526FC6D1F322}">
            <x14:dataBar minLength="0" maxLength="100" gradient="0">
              <x14:cfvo type="autoMin"/>
              <x14:cfvo type="autoMax"/>
              <x14:negativeFillColor rgb="FFFF0000"/>
              <x14:axisColor rgb="FF000000"/>
            </x14:dataBar>
          </x14:cfRule>
          <xm:sqref>C59:C60</xm:sqref>
        </x14:conditionalFormatting>
        <x14:conditionalFormatting xmlns:xm="http://schemas.microsoft.com/office/excel/2006/main">
          <x14:cfRule type="dataBar" id="{DD06713E-96BD-466F-AA5E-519617E2BDA7}">
            <x14:dataBar minLength="0" maxLength="100" gradient="0">
              <x14:cfvo type="autoMin"/>
              <x14:cfvo type="autoMax"/>
              <x14:negativeFillColor rgb="FFFF0000"/>
              <x14:axisColor rgb="FF000000"/>
            </x14:dataBar>
          </x14:cfRule>
          <xm:sqref>C92:C93 C82</xm:sqref>
        </x14:conditionalFormatting>
        <x14:conditionalFormatting xmlns:xm="http://schemas.microsoft.com/office/excel/2006/main">
          <x14:cfRule type="dataBar" id="{79319DF6-E1B9-4362-81C0-2F42011E91C4}">
            <x14:dataBar minLength="0" maxLength="100" gradient="0">
              <x14:cfvo type="autoMin"/>
              <x14:cfvo type="autoMax"/>
              <x14:negativeFillColor rgb="FFFF0000"/>
              <x14:axisColor rgb="FF000000"/>
            </x14:dataBar>
          </x14:cfRule>
          <xm:sqref>C83</xm:sqref>
        </x14:conditionalFormatting>
        <x14:conditionalFormatting xmlns:xm="http://schemas.microsoft.com/office/excel/2006/main">
          <x14:cfRule type="dataBar" id="{2B665AB0-DD29-474E-93EB-18C7928E362E}">
            <x14:dataBar minLength="0" maxLength="100" gradient="0">
              <x14:cfvo type="autoMin"/>
              <x14:cfvo type="autoMax"/>
              <x14:negativeFillColor rgb="FFFF0000"/>
              <x14:axisColor rgb="FF000000"/>
            </x14:dataBar>
          </x14:cfRule>
          <xm:sqref>C84:C91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AQ111"/>
  <sheetViews>
    <sheetView zoomScale="70" zoomScaleNormal="70" workbookViewId="0"/>
  </sheetViews>
  <sheetFormatPr baseColWidth="10" defaultColWidth="11.5546875" defaultRowHeight="14.4" outlineLevelRow="1" outlineLevelCol="1" x14ac:dyDescent="0.3"/>
  <cols>
    <col min="1" max="1" width="11.5546875" style="301"/>
    <col min="2" max="2" width="18.5546875" style="301" customWidth="1"/>
    <col min="3" max="3" width="34.5546875" style="301" customWidth="1"/>
    <col min="4" max="4" width="15" style="301" bestFit="1" customWidth="1"/>
    <col min="5" max="5" width="11.5546875" style="301"/>
    <col min="6" max="6" width="22.5546875" style="301" customWidth="1"/>
    <col min="7" max="7" width="18.5546875" style="301" bestFit="1" customWidth="1"/>
    <col min="8" max="8" width="19" style="301" bestFit="1" customWidth="1"/>
    <col min="9" max="9" width="24.109375" style="301" hidden="1" customWidth="1" outlineLevel="1"/>
    <col min="10" max="10" width="20.109375" style="301" hidden="1" customWidth="1" outlineLevel="1"/>
    <col min="11" max="11" width="19.88671875" style="301" hidden="1" customWidth="1" outlineLevel="1"/>
    <col min="12" max="12" width="19" style="301" hidden="1" customWidth="1" outlineLevel="1"/>
    <col min="13" max="13" width="20.33203125" style="301" hidden="1" customWidth="1" outlineLevel="1"/>
    <col min="14" max="15" width="19" style="301" hidden="1" customWidth="1" outlineLevel="1"/>
    <col min="16" max="16" width="11.5546875" style="301" collapsed="1"/>
    <col min="17" max="19" width="11.5546875" style="301"/>
    <col min="20" max="20" width="12.5546875" style="301" customWidth="1"/>
    <col min="21" max="32" width="11.5546875" style="301"/>
    <col min="33" max="33" width="57.109375" style="374" customWidth="1" outlineLevel="1"/>
    <col min="34" max="42" width="11.5546875" style="301" customWidth="1" outlineLevel="1"/>
    <col min="43" max="16384" width="11.5546875" style="301"/>
  </cols>
  <sheetData>
    <row r="1" spans="1:43" ht="24" thickBot="1" x14ac:dyDescent="0.5">
      <c r="B1" s="391" t="s">
        <v>783</v>
      </c>
      <c r="AQ1" s="649" t="s">
        <v>907</v>
      </c>
    </row>
    <row r="2" spans="1:43" ht="50.4" customHeight="1" x14ac:dyDescent="0.3">
      <c r="B2" s="1144" t="s">
        <v>1017</v>
      </c>
      <c r="C2" s="1145"/>
      <c r="D2" s="1145"/>
      <c r="E2" s="1145"/>
      <c r="F2" s="1145"/>
      <c r="G2" s="1145"/>
      <c r="H2" s="1145"/>
      <c r="I2" s="1145"/>
      <c r="J2" s="1145"/>
      <c r="K2" s="1145"/>
      <c r="L2" s="1145"/>
      <c r="M2" s="1145"/>
      <c r="N2" s="1145"/>
      <c r="O2" s="1145"/>
      <c r="P2" s="1145"/>
      <c r="Q2" s="1145"/>
      <c r="R2" s="1146"/>
    </row>
    <row r="3" spans="1:43" ht="27.75" customHeight="1" thickBot="1" x14ac:dyDescent="0.35">
      <c r="B3" s="1147"/>
      <c r="C3" s="1148"/>
      <c r="D3" s="1148"/>
      <c r="E3" s="1148"/>
      <c r="F3" s="1148"/>
      <c r="G3" s="1148"/>
      <c r="H3" s="1148"/>
      <c r="I3" s="1148"/>
      <c r="J3" s="1148"/>
      <c r="K3" s="1148"/>
      <c r="L3" s="1148"/>
      <c r="M3" s="1148"/>
      <c r="N3" s="1148"/>
      <c r="O3" s="1148"/>
      <c r="P3" s="1148"/>
      <c r="Q3" s="1148"/>
      <c r="R3" s="1149"/>
    </row>
    <row r="4" spans="1:43" ht="18.600000000000001" customHeight="1" x14ac:dyDescent="0.35">
      <c r="B4" s="418"/>
    </row>
    <row r="5" spans="1:43" ht="18.600000000000001" customHeight="1" thickBot="1" x14ac:dyDescent="0.4">
      <c r="B5" s="418"/>
    </row>
    <row r="6" spans="1:43" ht="26.25" customHeight="1" x14ac:dyDescent="0.4">
      <c r="A6" s="707"/>
      <c r="B6" s="321" t="s">
        <v>777</v>
      </c>
      <c r="C6" s="654" t="s">
        <v>784</v>
      </c>
      <c r="D6" s="651"/>
      <c r="E6" s="419" t="s">
        <v>279</v>
      </c>
      <c r="F6" s="1154"/>
      <c r="G6" s="1155"/>
      <c r="H6" s="1155"/>
      <c r="I6" s="1155"/>
      <c r="J6" s="1155"/>
      <c r="K6" s="1155"/>
      <c r="L6" s="1155"/>
      <c r="M6" s="1155"/>
      <c r="N6" s="1155"/>
      <c r="O6" s="1155"/>
      <c r="P6" s="1155"/>
      <c r="Q6" s="1155"/>
      <c r="R6" s="1155"/>
      <c r="S6" s="1155"/>
      <c r="T6" s="1156"/>
    </row>
    <row r="7" spans="1:43" x14ac:dyDescent="0.3">
      <c r="A7" s="707"/>
      <c r="B7" s="372">
        <v>0</v>
      </c>
      <c r="C7" s="868" t="str">
        <f>'Vann og Avløp-utslippsfaktorer'!A3</f>
        <v>Elektrisitet, Norsk forbruksmiks</v>
      </c>
      <c r="D7" s="313"/>
      <c r="E7" s="361">
        <v>0</v>
      </c>
      <c r="F7" s="1157"/>
      <c r="G7" s="1158"/>
      <c r="H7" s="1158"/>
      <c r="I7" s="1158"/>
      <c r="J7" s="1158"/>
      <c r="K7" s="1158"/>
      <c r="L7" s="1158"/>
      <c r="M7" s="1158"/>
      <c r="N7" s="1158"/>
      <c r="O7" s="1158"/>
      <c r="P7" s="1158"/>
      <c r="Q7" s="1158"/>
      <c r="R7" s="1158"/>
      <c r="S7" s="1158"/>
      <c r="T7" s="1159"/>
    </row>
    <row r="8" spans="1:43" x14ac:dyDescent="0.3">
      <c r="A8" s="707"/>
      <c r="B8" s="372">
        <v>0</v>
      </c>
      <c r="C8" s="373" t="s">
        <v>488</v>
      </c>
      <c r="D8" s="313"/>
      <c r="E8" s="361">
        <v>0</v>
      </c>
      <c r="F8" s="1157"/>
      <c r="G8" s="1158"/>
      <c r="H8" s="1158"/>
      <c r="I8" s="1158"/>
      <c r="J8" s="1158"/>
      <c r="K8" s="1158"/>
      <c r="L8" s="1158"/>
      <c r="M8" s="1158"/>
      <c r="N8" s="1158"/>
      <c r="O8" s="1158"/>
      <c r="P8" s="1158"/>
      <c r="Q8" s="1158"/>
      <c r="R8" s="1158"/>
      <c r="S8" s="1158"/>
      <c r="T8" s="1159"/>
    </row>
    <row r="9" spans="1:43" x14ac:dyDescent="0.3">
      <c r="A9" s="707"/>
      <c r="B9" s="372">
        <v>0</v>
      </c>
      <c r="C9" s="373" t="s">
        <v>308</v>
      </c>
      <c r="D9" s="313"/>
      <c r="E9" s="361">
        <v>0</v>
      </c>
      <c r="F9" s="1157"/>
      <c r="G9" s="1158"/>
      <c r="H9" s="1158"/>
      <c r="I9" s="1158"/>
      <c r="J9" s="1158"/>
      <c r="K9" s="1158"/>
      <c r="L9" s="1158"/>
      <c r="M9" s="1158"/>
      <c r="N9" s="1158"/>
      <c r="O9" s="1158"/>
      <c r="P9" s="1158"/>
      <c r="Q9" s="1158"/>
      <c r="R9" s="1158"/>
      <c r="S9" s="1158"/>
      <c r="T9" s="1159"/>
    </row>
    <row r="10" spans="1:43" x14ac:dyDescent="0.3">
      <c r="A10" s="707"/>
      <c r="B10" s="372">
        <v>0</v>
      </c>
      <c r="C10" s="373" t="s">
        <v>764</v>
      </c>
      <c r="D10" s="313"/>
      <c r="E10" s="361">
        <v>0</v>
      </c>
      <c r="F10" s="1157"/>
      <c r="G10" s="1158"/>
      <c r="H10" s="1158"/>
      <c r="I10" s="1158"/>
      <c r="J10" s="1158"/>
      <c r="K10" s="1158"/>
      <c r="L10" s="1158"/>
      <c r="M10" s="1158"/>
      <c r="N10" s="1158"/>
      <c r="O10" s="1158"/>
      <c r="P10" s="1158"/>
      <c r="Q10" s="1158"/>
      <c r="R10" s="1158"/>
      <c r="S10" s="1158"/>
      <c r="T10" s="1159"/>
    </row>
    <row r="11" spans="1:43" x14ac:dyDescent="0.3">
      <c r="A11" s="707"/>
      <c r="B11" s="372">
        <v>0</v>
      </c>
      <c r="C11" s="373" t="s">
        <v>309</v>
      </c>
      <c r="D11" s="313"/>
      <c r="E11" s="361">
        <v>0</v>
      </c>
      <c r="F11" s="1157"/>
      <c r="G11" s="1158"/>
      <c r="H11" s="1158"/>
      <c r="I11" s="1158"/>
      <c r="J11" s="1158"/>
      <c r="K11" s="1158"/>
      <c r="L11" s="1158"/>
      <c r="M11" s="1158"/>
      <c r="N11" s="1158"/>
      <c r="O11" s="1158"/>
      <c r="P11" s="1158"/>
      <c r="Q11" s="1158"/>
      <c r="R11" s="1158"/>
      <c r="S11" s="1158"/>
      <c r="T11" s="1159"/>
    </row>
    <row r="12" spans="1:43" ht="15" thickBot="1" x14ac:dyDescent="0.35">
      <c r="A12" s="707"/>
      <c r="B12" s="375">
        <v>0</v>
      </c>
      <c r="C12" s="376" t="s">
        <v>310</v>
      </c>
      <c r="D12" s="318"/>
      <c r="E12" s="369">
        <v>0</v>
      </c>
      <c r="F12" s="1160"/>
      <c r="G12" s="1161"/>
      <c r="H12" s="1161"/>
      <c r="I12" s="1161"/>
      <c r="J12" s="1161"/>
      <c r="K12" s="1161"/>
      <c r="L12" s="1161"/>
      <c r="M12" s="1161"/>
      <c r="N12" s="1161"/>
      <c r="O12" s="1161"/>
      <c r="P12" s="1161"/>
      <c r="Q12" s="1161"/>
      <c r="R12" s="1161"/>
      <c r="S12" s="1161"/>
      <c r="T12" s="1162"/>
    </row>
    <row r="13" spans="1:43" ht="15" thickBot="1" x14ac:dyDescent="0.35">
      <c r="B13" s="660"/>
    </row>
    <row r="14" spans="1:43" ht="15" thickBot="1" x14ac:dyDescent="0.35">
      <c r="A14" s="1096" t="s">
        <v>637</v>
      </c>
      <c r="B14" s="1097"/>
      <c r="C14" s="1097"/>
      <c r="D14" s="1097"/>
      <c r="E14" s="1097"/>
      <c r="F14" s="1097"/>
      <c r="G14" s="652"/>
      <c r="H14" s="652"/>
      <c r="I14" s="652"/>
      <c r="J14" s="652"/>
      <c r="K14" s="652"/>
      <c r="L14" s="652"/>
      <c r="M14" s="652"/>
      <c r="N14" s="652"/>
      <c r="O14" s="652"/>
      <c r="P14" s="652"/>
      <c r="Q14" s="652"/>
      <c r="R14" s="652"/>
      <c r="S14" s="652"/>
      <c r="T14" s="653"/>
      <c r="AG14" s="371" t="s">
        <v>974</v>
      </c>
      <c r="AH14" s="1133" t="s">
        <v>906</v>
      </c>
      <c r="AI14" s="1133"/>
      <c r="AJ14" s="1133"/>
      <c r="AK14" s="1133" t="s">
        <v>917</v>
      </c>
      <c r="AL14" s="1133"/>
      <c r="AM14" s="1133"/>
      <c r="AN14" s="1133" t="s">
        <v>918</v>
      </c>
      <c r="AO14" s="1133"/>
      <c r="AP14" s="1133"/>
    </row>
    <row r="15" spans="1:43" ht="15.6" outlineLevel="1" x14ac:dyDescent="0.3">
      <c r="A15" s="335" t="s">
        <v>777</v>
      </c>
      <c r="B15" s="335" t="s">
        <v>330</v>
      </c>
      <c r="C15" s="655" t="s">
        <v>15</v>
      </c>
      <c r="D15" s="655"/>
      <c r="E15" s="656" t="s">
        <v>321</v>
      </c>
      <c r="F15" s="307" t="s">
        <v>669</v>
      </c>
      <c r="G15" s="307" t="s">
        <v>667</v>
      </c>
      <c r="H15" s="419" t="s">
        <v>668</v>
      </c>
      <c r="I15" s="378" t="s">
        <v>891</v>
      </c>
      <c r="J15" s="307" t="s">
        <v>892</v>
      </c>
      <c r="K15" s="307" t="s">
        <v>893</v>
      </c>
      <c r="L15" s="307" t="s">
        <v>890</v>
      </c>
      <c r="M15" s="307" t="s">
        <v>894</v>
      </c>
      <c r="N15" s="458" t="s">
        <v>895</v>
      </c>
      <c r="O15" s="459" t="s">
        <v>901</v>
      </c>
      <c r="P15" s="458"/>
      <c r="Q15" s="458"/>
      <c r="R15" s="458"/>
      <c r="S15" s="458"/>
      <c r="T15" s="459"/>
      <c r="AG15" s="654" t="s">
        <v>15</v>
      </c>
      <c r="AH15" s="307" t="s">
        <v>558</v>
      </c>
      <c r="AI15" s="307" t="s">
        <v>559</v>
      </c>
      <c r="AJ15" s="307" t="s">
        <v>560</v>
      </c>
      <c r="AK15" s="307" t="s">
        <v>558</v>
      </c>
      <c r="AL15" s="307" t="s">
        <v>559</v>
      </c>
      <c r="AM15" s="307" t="s">
        <v>560</v>
      </c>
      <c r="AN15" s="307" t="s">
        <v>558</v>
      </c>
      <c r="AO15" s="307" t="s">
        <v>559</v>
      </c>
      <c r="AP15" s="419" t="s">
        <v>560</v>
      </c>
    </row>
    <row r="16" spans="1:43" outlineLevel="1" x14ac:dyDescent="0.3">
      <c r="A16" s="372">
        <v>0</v>
      </c>
      <c r="B16" s="906">
        <f>VLOOKUP(C16,'Vann og Avløp-utslippsfaktorer'!$A$3:$D$82,4,FALSE)</f>
        <v>254</v>
      </c>
      <c r="C16" s="301" t="s">
        <v>16</v>
      </c>
      <c r="E16" s="315">
        <v>0</v>
      </c>
      <c r="F16" s="339">
        <v>100</v>
      </c>
      <c r="G16" s="339">
        <v>0</v>
      </c>
      <c r="H16" s="340">
        <v>0</v>
      </c>
      <c r="I16" s="483" t="s">
        <v>865</v>
      </c>
      <c r="J16" s="484" t="s">
        <v>648</v>
      </c>
      <c r="K16" s="484" t="s">
        <v>871</v>
      </c>
      <c r="L16" s="484" t="s">
        <v>868</v>
      </c>
      <c r="M16" s="899">
        <f>_xlfn.XLOOKUP(I16,'Utslippsfaktorer Transport'!$A$10:$A$19,'Utslippsfaktorer Transport'!$B$10:$B$19)*_xlfn.XLOOKUP(J16,'Utslippsfaktorer Transport'!$A$34:$A$52,'Utslippsfaktorer Transport'!$E$34:$E$52)</f>
        <v>64.47</v>
      </c>
      <c r="N16" s="900">
        <f>_xlfn.XLOOKUP(K16,'Utslippsfaktorer Transport'!$A$27:$A$29,'Utslippsfaktorer Transport'!$F$27:$F$29)</f>
        <v>17.5</v>
      </c>
      <c r="O16" s="901">
        <f>_xlfn.XLOOKUP(L16,'Utslippsfaktorer Transport'!$A$23:$A$25,'Utslippsfaktorer Transport'!$C$23:$C$25)</f>
        <v>0</v>
      </c>
      <c r="P16" s="313"/>
      <c r="T16" s="316"/>
      <c r="AG16" s="373" t="s">
        <v>16</v>
      </c>
      <c r="AH16" s="442">
        <f>E16*F16*_xlfn.XLOOKUP(I16,'Utslippsfaktorer Transport'!$A$9:$A$19,'Utslippsfaktorer Transport'!$B$9:$B$19)*_xlfn.XLOOKUP(J16,'Utslippsfaktorer Transport'!$A$33:$A$52,'Utslippsfaktorer Transport'!$B$33:$B$52)/1000</f>
        <v>0</v>
      </c>
      <c r="AI16" s="442">
        <f>E16*F16*_xlfn.XLOOKUP(I16,'Utslippsfaktorer Transport'!$A$9:$A$19,'Utslippsfaktorer Transport'!$B$9:$B$19)*_xlfn.XLOOKUP(J16,'Utslippsfaktorer Transport'!$A$33:$A$52,'Utslippsfaktorer Transport'!$C$33:$C$52)/1000</f>
        <v>0</v>
      </c>
      <c r="AJ16" s="442">
        <f>E16*F16*_xlfn.XLOOKUP(I16,'Utslippsfaktorer Transport'!$A$9:$A$19,'Utslippsfaktorer Transport'!$B$9:$B$19)*_xlfn.XLOOKUP(J16,'Utslippsfaktorer Transport'!$A$33:$A$52,'Utslippsfaktorer Transport'!$D$33:$D$52)/1000</f>
        <v>0</v>
      </c>
      <c r="AK16" s="904">
        <f>E16*G16*_xlfn.XLOOKUP(K16,'Utslippsfaktorer Transport'!$A$26:$A$29,'Utslippsfaktorer Transport'!$F$26:$F$29)/1000</f>
        <v>0</v>
      </c>
      <c r="AL16" s="904">
        <f>E16*G16*_xlfn.XLOOKUP(K16,'Utslippsfaktorer Transport'!$A$26:$A$29,'Utslippsfaktorer Transport'!$G$26:$G$29)/1000</f>
        <v>0</v>
      </c>
      <c r="AM16" s="904">
        <f>E16*G16*_xlfn.XLOOKUP(K16,'Utslippsfaktorer Transport'!$A$26:$A$29,'Utslippsfaktorer Transport'!$H$26:$H$29)/1000</f>
        <v>0</v>
      </c>
      <c r="AN16" s="442">
        <f>H16*E16*_xlfn.XLOOKUP(L16,'Utslippsfaktorer Transport'!$A$23:$A$25,'Utslippsfaktorer Transport'!$C$23:$C$25)/1000</f>
        <v>0</v>
      </c>
      <c r="AO16" s="442">
        <f>H16*E16*_xlfn.XLOOKUP(L16,'Utslippsfaktorer Transport'!$A$23:$A$25,'Utslippsfaktorer Transport'!$D$23:$D$25)/1000</f>
        <v>0</v>
      </c>
      <c r="AP16" s="902">
        <f>H16*E16*_xlfn.XLOOKUP(L16,'Utslippsfaktorer Transport'!$A$23:$A$25,'Utslippsfaktorer Transport'!$E$23:$E$25)/1000</f>
        <v>0</v>
      </c>
    </row>
    <row r="17" spans="1:42" outlineLevel="1" x14ac:dyDescent="0.3">
      <c r="A17" s="372">
        <v>0</v>
      </c>
      <c r="B17" s="906">
        <f>VLOOKUP(C17,'Vann og Avløp-utslippsfaktorer'!$A$3:$D$82,4,FALSE)</f>
        <v>446</v>
      </c>
      <c r="C17" s="301" t="s">
        <v>17</v>
      </c>
      <c r="E17" s="315">
        <v>0</v>
      </c>
      <c r="F17" s="315">
        <v>100</v>
      </c>
      <c r="G17" s="315">
        <v>0</v>
      </c>
      <c r="H17" s="340">
        <v>0</v>
      </c>
      <c r="I17" s="483" t="s">
        <v>865</v>
      </c>
      <c r="J17" s="360" t="s">
        <v>648</v>
      </c>
      <c r="K17" s="360" t="s">
        <v>871</v>
      </c>
      <c r="L17" s="360" t="s">
        <v>868</v>
      </c>
      <c r="M17" s="473">
        <f>_xlfn.XLOOKUP(I17,'Utslippsfaktorer Transport'!$A$10:$A$19,'Utslippsfaktorer Transport'!$B$10:$B$19)*_xlfn.XLOOKUP(J17,'Utslippsfaktorer Transport'!$A$34:$A$52,'Utslippsfaktorer Transport'!$E$34:$E$52)</f>
        <v>64.47</v>
      </c>
      <c r="N17" s="442">
        <f>_xlfn.XLOOKUP(K17,'Utslippsfaktorer Transport'!$A$27:$A$29,'Utslippsfaktorer Transport'!$F$27:$F$29)</f>
        <v>17.5</v>
      </c>
      <c r="O17" s="902">
        <f>_xlfn.XLOOKUP(L17,'Utslippsfaktorer Transport'!$A$23:$A$25,'Utslippsfaktorer Transport'!$C$23:$C$25)</f>
        <v>0</v>
      </c>
      <c r="P17" s="313"/>
      <c r="T17" s="316"/>
      <c r="AG17" s="373" t="s">
        <v>17</v>
      </c>
      <c r="AH17" s="442">
        <f>E17*F17*_xlfn.XLOOKUP(I17,'Utslippsfaktorer Transport'!$A$9:$A$19,'Utslippsfaktorer Transport'!$B$9:$B$19)*_xlfn.XLOOKUP(J17,'Utslippsfaktorer Transport'!$A$33:$A$52,'Utslippsfaktorer Transport'!$B$33:$B$52)/1000</f>
        <v>0</v>
      </c>
      <c r="AI17" s="442">
        <f>E17*F17*_xlfn.XLOOKUP(I17,'Utslippsfaktorer Transport'!$A$9:$A$19,'Utslippsfaktorer Transport'!$B$9:$B$19)*_xlfn.XLOOKUP(J17,'Utslippsfaktorer Transport'!$A$33:$A$52,'Utslippsfaktorer Transport'!$C$33:$C$52)/1000</f>
        <v>0</v>
      </c>
      <c r="AJ17" s="442">
        <f>E17*F17*_xlfn.XLOOKUP(I17,'Utslippsfaktorer Transport'!$A$9:$A$19,'Utslippsfaktorer Transport'!$B$9:$B$19)*_xlfn.XLOOKUP(J17,'Utslippsfaktorer Transport'!$A$33:$A$52,'Utslippsfaktorer Transport'!$D$33:$D$52)/1000</f>
        <v>0</v>
      </c>
      <c r="AK17" s="904">
        <f>E17*G17*_xlfn.XLOOKUP(K17,'Utslippsfaktorer Transport'!$A$26:$A$29,'Utslippsfaktorer Transport'!$F$26:$F$29)/1000</f>
        <v>0</v>
      </c>
      <c r="AL17" s="904">
        <f>E17*G17*_xlfn.XLOOKUP(K17,'Utslippsfaktorer Transport'!$A$26:$A$29,'Utslippsfaktorer Transport'!$G$26:$G$29)/1000</f>
        <v>0</v>
      </c>
      <c r="AM17" s="904">
        <f>E17*G17*_xlfn.XLOOKUP(K17,'Utslippsfaktorer Transport'!$A$26:$A$29,'Utslippsfaktorer Transport'!$H$26:$H$29)/1000</f>
        <v>0</v>
      </c>
      <c r="AN17" s="442">
        <f>H17*E17*_xlfn.XLOOKUP(L17,'Utslippsfaktorer Transport'!$A$23:$A$25,'Utslippsfaktorer Transport'!$C$23:$C$25)/1000</f>
        <v>0</v>
      </c>
      <c r="AO17" s="442">
        <f>H17*E17*_xlfn.XLOOKUP(L17,'Utslippsfaktorer Transport'!$A$23:$A$25,'Utslippsfaktorer Transport'!$D$23:$D$25)/1000</f>
        <v>0</v>
      </c>
      <c r="AP17" s="902">
        <f>H17*E17*_xlfn.XLOOKUP(L17,'Utslippsfaktorer Transport'!$A$23:$A$25,'Utslippsfaktorer Transport'!$E$23:$E$25)/1000</f>
        <v>0</v>
      </c>
    </row>
    <row r="18" spans="1:42" outlineLevel="1" x14ac:dyDescent="0.3">
      <c r="A18" s="372">
        <v>0</v>
      </c>
      <c r="B18" s="906">
        <f>VLOOKUP(C18,'Vann og Avløp-utslippsfaktorer'!$A$3:$D$82,4,FALSE)</f>
        <v>27</v>
      </c>
      <c r="C18" s="301" t="s">
        <v>18</v>
      </c>
      <c r="E18" s="315">
        <v>0</v>
      </c>
      <c r="F18" s="315">
        <v>100</v>
      </c>
      <c r="G18" s="315">
        <v>0</v>
      </c>
      <c r="H18" s="340">
        <v>0</v>
      </c>
      <c r="I18" s="483" t="s">
        <v>865</v>
      </c>
      <c r="J18" s="360" t="s">
        <v>648</v>
      </c>
      <c r="K18" s="360" t="s">
        <v>871</v>
      </c>
      <c r="L18" s="360" t="s">
        <v>868</v>
      </c>
      <c r="M18" s="473">
        <f>_xlfn.XLOOKUP(I18,'Utslippsfaktorer Transport'!$A$10:$A$19,'Utslippsfaktorer Transport'!$B$10:$B$19)*_xlfn.XLOOKUP(J18,'Utslippsfaktorer Transport'!$A$34:$A$52,'Utslippsfaktorer Transport'!$E$34:$E$52)</f>
        <v>64.47</v>
      </c>
      <c r="N18" s="442">
        <f>_xlfn.XLOOKUP(K18,'Utslippsfaktorer Transport'!$A$27:$A$29,'Utslippsfaktorer Transport'!$F$27:$F$29)</f>
        <v>17.5</v>
      </c>
      <c r="O18" s="902">
        <f>_xlfn.XLOOKUP(L18,'Utslippsfaktorer Transport'!$A$23:$A$25,'Utslippsfaktorer Transport'!$C$23:$C$25)</f>
        <v>0</v>
      </c>
      <c r="P18" s="313"/>
      <c r="T18" s="316"/>
      <c r="AG18" s="373" t="s">
        <v>18</v>
      </c>
      <c r="AH18" s="442">
        <f>E18*F18*_xlfn.XLOOKUP(I18,'Utslippsfaktorer Transport'!$A$9:$A$19,'Utslippsfaktorer Transport'!$B$9:$B$19)*_xlfn.XLOOKUP(J18,'Utslippsfaktorer Transport'!$A$33:$A$52,'Utslippsfaktorer Transport'!$B$33:$B$52)/1000</f>
        <v>0</v>
      </c>
      <c r="AI18" s="442">
        <f>E18*F18*_xlfn.XLOOKUP(I18,'Utslippsfaktorer Transport'!$A$9:$A$19,'Utslippsfaktorer Transport'!$B$9:$B$19)*_xlfn.XLOOKUP(J18,'Utslippsfaktorer Transport'!$A$33:$A$52,'Utslippsfaktorer Transport'!$C$33:$C$52)/1000</f>
        <v>0</v>
      </c>
      <c r="AJ18" s="442">
        <f>E18*F18*_xlfn.XLOOKUP(I18,'Utslippsfaktorer Transport'!$A$9:$A$19,'Utslippsfaktorer Transport'!$B$9:$B$19)*_xlfn.XLOOKUP(J18,'Utslippsfaktorer Transport'!$A$33:$A$52,'Utslippsfaktorer Transport'!$D$33:$D$52)/1000</f>
        <v>0</v>
      </c>
      <c r="AK18" s="904">
        <f>E18*G18*_xlfn.XLOOKUP(K18,'Utslippsfaktorer Transport'!$A$26:$A$29,'Utslippsfaktorer Transport'!$F$26:$F$29)/1000</f>
        <v>0</v>
      </c>
      <c r="AL18" s="904">
        <f>E18*G18*_xlfn.XLOOKUP(K18,'Utslippsfaktorer Transport'!$A$26:$A$29,'Utslippsfaktorer Transport'!$G$26:$G$29)/1000</f>
        <v>0</v>
      </c>
      <c r="AM18" s="904">
        <f>E18*G18*_xlfn.XLOOKUP(K18,'Utslippsfaktorer Transport'!$A$26:$A$29,'Utslippsfaktorer Transport'!$H$26:$H$29)/1000</f>
        <v>0</v>
      </c>
      <c r="AN18" s="442">
        <f>H18*E18*_xlfn.XLOOKUP(L18,'Utslippsfaktorer Transport'!$A$23:$A$25,'Utslippsfaktorer Transport'!$C$23:$C$25)/1000</f>
        <v>0</v>
      </c>
      <c r="AO18" s="442">
        <f>H18*E18*_xlfn.XLOOKUP(L18,'Utslippsfaktorer Transport'!$A$23:$A$25,'Utslippsfaktorer Transport'!$D$23:$D$25)/1000</f>
        <v>0</v>
      </c>
      <c r="AP18" s="902">
        <f>H18*E18*_xlfn.XLOOKUP(L18,'Utslippsfaktorer Transport'!$A$23:$A$25,'Utslippsfaktorer Transport'!$E$23:$E$25)/1000</f>
        <v>0</v>
      </c>
    </row>
    <row r="19" spans="1:42" outlineLevel="1" x14ac:dyDescent="0.3">
      <c r="A19" s="372">
        <v>0</v>
      </c>
      <c r="B19" s="906">
        <f>VLOOKUP(C19,'Vann og Avløp-utslippsfaktorer'!$A$3:$D$82,4,FALSE)</f>
        <v>12.6</v>
      </c>
      <c r="C19" s="301" t="s">
        <v>19</v>
      </c>
      <c r="E19" s="315">
        <v>0</v>
      </c>
      <c r="F19" s="315">
        <v>100</v>
      </c>
      <c r="G19" s="315">
        <v>0</v>
      </c>
      <c r="H19" s="340">
        <v>0</v>
      </c>
      <c r="I19" s="483" t="s">
        <v>865</v>
      </c>
      <c r="J19" s="360" t="s">
        <v>648</v>
      </c>
      <c r="K19" s="360" t="s">
        <v>871</v>
      </c>
      <c r="L19" s="360" t="s">
        <v>868</v>
      </c>
      <c r="M19" s="473">
        <f>_xlfn.XLOOKUP(I19,'Utslippsfaktorer Transport'!$A$10:$A$19,'Utslippsfaktorer Transport'!$B$10:$B$19)*_xlfn.XLOOKUP(J19,'Utslippsfaktorer Transport'!$A$34:$A$52,'Utslippsfaktorer Transport'!$E$34:$E$52)</f>
        <v>64.47</v>
      </c>
      <c r="N19" s="442">
        <f>_xlfn.XLOOKUP(K19,'Utslippsfaktorer Transport'!$A$27:$A$29,'Utslippsfaktorer Transport'!$F$27:$F$29)</f>
        <v>17.5</v>
      </c>
      <c r="O19" s="902">
        <f>_xlfn.XLOOKUP(L19,'Utslippsfaktorer Transport'!$A$23:$A$25,'Utslippsfaktorer Transport'!$C$23:$C$25)</f>
        <v>0</v>
      </c>
      <c r="P19" s="313"/>
      <c r="T19" s="316"/>
      <c r="AG19" s="373" t="s">
        <v>19</v>
      </c>
      <c r="AH19" s="442">
        <f>E19*F19*_xlfn.XLOOKUP(I19,'Utslippsfaktorer Transport'!$A$9:$A$19,'Utslippsfaktorer Transport'!$B$9:$B$19)*_xlfn.XLOOKUP(J19,'Utslippsfaktorer Transport'!$A$33:$A$52,'Utslippsfaktorer Transport'!$B$33:$B$52)/1000</f>
        <v>0</v>
      </c>
      <c r="AI19" s="442">
        <f>E19*F19*_xlfn.XLOOKUP(I19,'Utslippsfaktorer Transport'!$A$9:$A$19,'Utslippsfaktorer Transport'!$B$9:$B$19)*_xlfn.XLOOKUP(J19,'Utslippsfaktorer Transport'!$A$33:$A$52,'Utslippsfaktorer Transport'!$C$33:$C$52)/1000</f>
        <v>0</v>
      </c>
      <c r="AJ19" s="442">
        <f>E19*F19*_xlfn.XLOOKUP(I19,'Utslippsfaktorer Transport'!$A$9:$A$19,'Utslippsfaktorer Transport'!$B$9:$B$19)*_xlfn.XLOOKUP(J19,'Utslippsfaktorer Transport'!$A$33:$A$52,'Utslippsfaktorer Transport'!$D$33:$D$52)/1000</f>
        <v>0</v>
      </c>
      <c r="AK19" s="904">
        <f>E19*G19*_xlfn.XLOOKUP(K19,'Utslippsfaktorer Transport'!$A$26:$A$29,'Utslippsfaktorer Transport'!$F$26:$F$29)/1000</f>
        <v>0</v>
      </c>
      <c r="AL19" s="904">
        <f>E19*G19*_xlfn.XLOOKUP(K19,'Utslippsfaktorer Transport'!$A$26:$A$29,'Utslippsfaktorer Transport'!$G$26:$G$29)/1000</f>
        <v>0</v>
      </c>
      <c r="AM19" s="904">
        <f>E19*G19*_xlfn.XLOOKUP(K19,'Utslippsfaktorer Transport'!$A$26:$A$29,'Utslippsfaktorer Transport'!$H$26:$H$29)/1000</f>
        <v>0</v>
      </c>
      <c r="AN19" s="442">
        <f>H19*E19*_xlfn.XLOOKUP(L19,'Utslippsfaktorer Transport'!$A$23:$A$25,'Utslippsfaktorer Transport'!$C$23:$C$25)/1000</f>
        <v>0</v>
      </c>
      <c r="AO19" s="442">
        <f>H19*E19*_xlfn.XLOOKUP(L19,'Utslippsfaktorer Transport'!$A$23:$A$25,'Utslippsfaktorer Transport'!$D$23:$D$25)/1000</f>
        <v>0</v>
      </c>
      <c r="AP19" s="902">
        <f>H19*E19*_xlfn.XLOOKUP(L19,'Utslippsfaktorer Transport'!$A$23:$A$25,'Utslippsfaktorer Transport'!$E$23:$E$25)/1000</f>
        <v>0</v>
      </c>
    </row>
    <row r="20" spans="1:42" ht="15" outlineLevel="1" thickBot="1" x14ac:dyDescent="0.35">
      <c r="A20" s="375">
        <v>0</v>
      </c>
      <c r="B20" s="907">
        <f>VLOOKUP(C20,'Vann og Avløp-utslippsfaktorer'!$A$3:$D$82,4,FALSE)</f>
        <v>11</v>
      </c>
      <c r="C20" s="318" t="s">
        <v>574</v>
      </c>
      <c r="D20" s="318"/>
      <c r="E20" s="319">
        <v>0</v>
      </c>
      <c r="F20" s="319">
        <v>100</v>
      </c>
      <c r="G20" s="319">
        <v>0</v>
      </c>
      <c r="H20" s="352">
        <v>0</v>
      </c>
      <c r="I20" s="365" t="s">
        <v>865</v>
      </c>
      <c r="J20" s="329" t="s">
        <v>648</v>
      </c>
      <c r="K20" s="329" t="s">
        <v>871</v>
      </c>
      <c r="L20" s="329" t="s">
        <v>868</v>
      </c>
      <c r="M20" s="479">
        <f>_xlfn.XLOOKUP(I20,'Utslippsfaktorer Transport'!$A$10:$A$19,'Utslippsfaktorer Transport'!$B$10:$B$19)*_xlfn.XLOOKUP(J20,'Utslippsfaktorer Transport'!$A$34:$A$52,'Utslippsfaktorer Transport'!$E$34:$E$52)</f>
        <v>64.47</v>
      </c>
      <c r="N20" s="441">
        <f>_xlfn.XLOOKUP(K20,'Utslippsfaktorer Transport'!$A$27:$A$29,'Utslippsfaktorer Transport'!$F$27:$F$29)</f>
        <v>17.5</v>
      </c>
      <c r="O20" s="903">
        <f>_xlfn.XLOOKUP(L20,'Utslippsfaktorer Transport'!$A$23:$A$25,'Utslippsfaktorer Transport'!$C$23:$C$25)</f>
        <v>0</v>
      </c>
      <c r="P20" s="318"/>
      <c r="Q20" s="318"/>
      <c r="R20" s="318"/>
      <c r="S20" s="318"/>
      <c r="T20" s="320"/>
      <c r="AG20" s="376" t="s">
        <v>574</v>
      </c>
      <c r="AH20" s="441">
        <f>E20*F20*_xlfn.XLOOKUP(I20,'Utslippsfaktorer Transport'!$A$9:$A$19,'Utslippsfaktorer Transport'!$B$9:$B$19)*_xlfn.XLOOKUP(J20,'Utslippsfaktorer Transport'!$A$33:$A$52,'Utslippsfaktorer Transport'!$B$33:$B$52)/1000</f>
        <v>0</v>
      </c>
      <c r="AI20" s="441">
        <f>E20*F20*_xlfn.XLOOKUP(I20,'Utslippsfaktorer Transport'!$A$9:$A$19,'Utslippsfaktorer Transport'!$B$9:$B$19)*_xlfn.XLOOKUP(J20,'Utslippsfaktorer Transport'!$A$33:$A$52,'Utslippsfaktorer Transport'!$C$33:$C$52)/1000</f>
        <v>0</v>
      </c>
      <c r="AJ20" s="441">
        <f>E20*F20*_xlfn.XLOOKUP(I20,'Utslippsfaktorer Transport'!$A$9:$A$19,'Utslippsfaktorer Transport'!$B$9:$B$19)*_xlfn.XLOOKUP(J20,'Utslippsfaktorer Transport'!$A$33:$A$52,'Utslippsfaktorer Transport'!$D$33:$D$52)/1000</f>
        <v>0</v>
      </c>
      <c r="AK20" s="905">
        <f>E20*G20*_xlfn.XLOOKUP(K20,'Utslippsfaktorer Transport'!$A$26:$A$29,'Utslippsfaktorer Transport'!$F$26:$F$29)/1000</f>
        <v>0</v>
      </c>
      <c r="AL20" s="905">
        <f>E20*G20*_xlfn.XLOOKUP(K20,'Utslippsfaktorer Transport'!$A$26:$A$29,'Utslippsfaktorer Transport'!$G$26:$G$29)/1000</f>
        <v>0</v>
      </c>
      <c r="AM20" s="905">
        <f>E20*G20*_xlfn.XLOOKUP(K20,'Utslippsfaktorer Transport'!$A$26:$A$29,'Utslippsfaktorer Transport'!$H$26:$H$29)/1000</f>
        <v>0</v>
      </c>
      <c r="AN20" s="441">
        <f>H20*E20*_xlfn.XLOOKUP(L20,'Utslippsfaktorer Transport'!$A$23:$A$25,'Utslippsfaktorer Transport'!$C$23:$C$25)/1000</f>
        <v>0</v>
      </c>
      <c r="AO20" s="441">
        <f>H20*E20*_xlfn.XLOOKUP(L20,'Utslippsfaktorer Transport'!$A$23:$A$25,'Utslippsfaktorer Transport'!$D$23:$D$25)/1000</f>
        <v>0</v>
      </c>
      <c r="AP20" s="903">
        <f>H20*E20*_xlfn.XLOOKUP(L20,'Utslippsfaktorer Transport'!$A$23:$A$25,'Utslippsfaktorer Transport'!$E$23:$E$25)/1000</f>
        <v>0</v>
      </c>
    </row>
    <row r="21" spans="1:42" ht="15" outlineLevel="1" thickBot="1" x14ac:dyDescent="0.35">
      <c r="A21" s="313"/>
      <c r="B21" s="313"/>
      <c r="C21" s="313"/>
      <c r="D21" s="313"/>
      <c r="E21" s="313"/>
      <c r="F21" s="313"/>
      <c r="G21" s="313"/>
      <c r="H21" s="313"/>
      <c r="I21" s="313"/>
      <c r="J21" s="313"/>
      <c r="K21" s="313"/>
      <c r="L21" s="313"/>
      <c r="M21" s="313"/>
      <c r="N21" s="313"/>
      <c r="O21" s="313"/>
      <c r="P21" s="313"/>
      <c r="Q21" s="313"/>
      <c r="R21" s="313"/>
      <c r="S21" s="313"/>
      <c r="T21" s="313"/>
      <c r="AK21" s="660"/>
      <c r="AL21" s="660"/>
      <c r="AM21" s="660"/>
    </row>
    <row r="22" spans="1:42" ht="16.2" outlineLevel="1" thickBot="1" x14ac:dyDescent="0.35">
      <c r="A22" s="335" t="s">
        <v>777</v>
      </c>
      <c r="B22" s="335" t="s">
        <v>330</v>
      </c>
      <c r="C22" s="654" t="s">
        <v>401</v>
      </c>
      <c r="D22" s="655"/>
      <c r="E22" s="307"/>
      <c r="F22" s="307"/>
      <c r="G22" s="307"/>
      <c r="H22" s="458"/>
      <c r="I22" s="458"/>
      <c r="J22" s="458"/>
      <c r="K22" s="458"/>
      <c r="L22" s="458"/>
      <c r="M22" s="458"/>
      <c r="N22" s="458"/>
      <c r="O22" s="458"/>
      <c r="P22" s="458"/>
      <c r="Q22" s="458"/>
      <c r="R22" s="458"/>
      <c r="S22" s="458"/>
      <c r="T22" s="459"/>
      <c r="AG22" s="654" t="s">
        <v>401</v>
      </c>
      <c r="AH22" s="307"/>
      <c r="AI22" s="307"/>
      <c r="AJ22" s="307"/>
      <c r="AK22" s="661"/>
      <c r="AL22" s="661"/>
      <c r="AM22" s="661"/>
      <c r="AN22" s="307"/>
      <c r="AO22" s="307"/>
      <c r="AP22" s="419"/>
    </row>
    <row r="23" spans="1:42" ht="15.6" outlineLevel="1" x14ac:dyDescent="0.3">
      <c r="A23" s="405"/>
      <c r="B23" s="708"/>
      <c r="C23" s="667" t="s">
        <v>605</v>
      </c>
      <c r="D23" s="709"/>
      <c r="E23" s="710" t="s">
        <v>321</v>
      </c>
      <c r="F23" s="664" t="s">
        <v>669</v>
      </c>
      <c r="G23" s="528" t="s">
        <v>667</v>
      </c>
      <c r="H23" s="665" t="s">
        <v>670</v>
      </c>
      <c r="I23" s="378" t="s">
        <v>891</v>
      </c>
      <c r="J23" s="307" t="s">
        <v>892</v>
      </c>
      <c r="K23" s="307" t="s">
        <v>893</v>
      </c>
      <c r="L23" s="307" t="s">
        <v>890</v>
      </c>
      <c r="M23" s="307" t="s">
        <v>894</v>
      </c>
      <c r="N23" s="307" t="s">
        <v>895</v>
      </c>
      <c r="O23" s="419" t="s">
        <v>901</v>
      </c>
      <c r="P23" s="313"/>
      <c r="Q23" s="313"/>
      <c r="R23" s="313"/>
      <c r="S23" s="313"/>
      <c r="T23" s="316"/>
      <c r="AG23" s="667" t="s">
        <v>605</v>
      </c>
      <c r="AH23" s="313"/>
      <c r="AI23" s="313"/>
      <c r="AJ23" s="313"/>
      <c r="AK23" s="657"/>
      <c r="AL23" s="657"/>
      <c r="AM23" s="657"/>
      <c r="AN23" s="313"/>
      <c r="AO23" s="313"/>
      <c r="AP23" s="316"/>
    </row>
    <row r="24" spans="1:42" ht="15.6" outlineLevel="1" x14ac:dyDescent="0.3">
      <c r="A24" s="372">
        <v>0</v>
      </c>
      <c r="B24" s="906">
        <f>VLOOKUP(C24,'Vann og Avløp-utslippsfaktorer'!$A$3:$D$82,4,FALSE)</f>
        <v>576</v>
      </c>
      <c r="C24" s="668" t="s">
        <v>605</v>
      </c>
      <c r="D24" s="669"/>
      <c r="E24" s="339">
        <v>0</v>
      </c>
      <c r="F24" s="484">
        <v>100</v>
      </c>
      <c r="G24" s="484">
        <v>0</v>
      </c>
      <c r="H24" s="361">
        <v>0</v>
      </c>
      <c r="I24" s="483" t="s">
        <v>865</v>
      </c>
      <c r="J24" s="360" t="s">
        <v>648</v>
      </c>
      <c r="K24" s="360" t="s">
        <v>871</v>
      </c>
      <c r="L24" s="360" t="s">
        <v>868</v>
      </c>
      <c r="M24" s="473">
        <f>_xlfn.XLOOKUP(I24,'Utslippsfaktorer Transport'!$A$10:$A$19,'Utslippsfaktorer Transport'!$B$10:$B$19)*_xlfn.XLOOKUP(J24,'Utslippsfaktorer Transport'!$A$34:$A$52,'Utslippsfaktorer Transport'!$E$34:$E$52)</f>
        <v>64.47</v>
      </c>
      <c r="N24" s="442">
        <f>_xlfn.XLOOKUP(K24,'Utslippsfaktorer Transport'!$A$27:$A$29,'Utslippsfaktorer Transport'!$F$27:$F$29)</f>
        <v>17.5</v>
      </c>
      <c r="O24" s="902">
        <f>_xlfn.XLOOKUP(L24,'Utslippsfaktorer Transport'!$A$23:$A$25,'Utslippsfaktorer Transport'!$C$23:$C$25)</f>
        <v>0</v>
      </c>
      <c r="P24" s="313"/>
      <c r="Q24" s="313"/>
      <c r="R24" s="313"/>
      <c r="S24" s="313"/>
      <c r="T24" s="316"/>
      <c r="AG24" s="668" t="s">
        <v>605</v>
      </c>
      <c r="AH24" s="442">
        <f>E24*F24*_xlfn.XLOOKUP(I24,'Utslippsfaktorer Transport'!$A$9:$A$19,'Utslippsfaktorer Transport'!$B$9:$B$19)*_xlfn.XLOOKUP(J24,'Utslippsfaktorer Transport'!$A$33:$A$52,'Utslippsfaktorer Transport'!$B$33:$B$52)/1000</f>
        <v>0</v>
      </c>
      <c r="AI24" s="442">
        <f>E24*F24*_xlfn.XLOOKUP(I24,'Utslippsfaktorer Transport'!$A$9:$A$19,'Utslippsfaktorer Transport'!$B$9:$B$19)*_xlfn.XLOOKUP(J24,'Utslippsfaktorer Transport'!$A$33:$A$52,'Utslippsfaktorer Transport'!$C$33:$C$52)/1000</f>
        <v>0</v>
      </c>
      <c r="AJ24" s="442">
        <f>E24*F24*_xlfn.XLOOKUP(I24,'Utslippsfaktorer Transport'!$A$9:$A$19,'Utslippsfaktorer Transport'!$B$9:$B$19)*_xlfn.XLOOKUP(J24,'Utslippsfaktorer Transport'!$A$33:$A$52,'Utslippsfaktorer Transport'!$D$33:$D$52)/1000</f>
        <v>0</v>
      </c>
      <c r="AK24" s="904">
        <f>E24*G24*_xlfn.XLOOKUP(K24,'Utslippsfaktorer Transport'!$A$26:$A$29,'Utslippsfaktorer Transport'!$F$26:$F$29)/1000</f>
        <v>0</v>
      </c>
      <c r="AL24" s="904">
        <f>E24*G24*_xlfn.XLOOKUP(K24,'Utslippsfaktorer Transport'!$A$26:$A$29,'Utslippsfaktorer Transport'!$G$26:$G$29)/1000</f>
        <v>0</v>
      </c>
      <c r="AM24" s="904">
        <f>E24*G24*_xlfn.XLOOKUP(K24,'Utslippsfaktorer Transport'!$A$26:$A$29,'Utslippsfaktorer Transport'!$H$26:$H$29)/1000</f>
        <v>0</v>
      </c>
      <c r="AN24" s="442">
        <f>H24*E24*_xlfn.XLOOKUP(L24,'Utslippsfaktorer Transport'!$A$23:$A$25,'Utslippsfaktorer Transport'!$C$23:$C$25)/1000</f>
        <v>0</v>
      </c>
      <c r="AO24" s="442">
        <f>H24*E24*_xlfn.XLOOKUP(L24,'Utslippsfaktorer Transport'!$A$23:$A$25,'Utslippsfaktorer Transport'!$D$23:$D$25)/1000</f>
        <v>0</v>
      </c>
      <c r="AP24" s="902">
        <f>H24*E24*_xlfn.XLOOKUP(L24,'Utslippsfaktorer Transport'!$A$23:$A$25,'Utslippsfaktorer Transport'!$E$23:$E$25)/1000</f>
        <v>0</v>
      </c>
    </row>
    <row r="25" spans="1:42" ht="15.6" outlineLevel="1" x14ac:dyDescent="0.3">
      <c r="A25" s="372">
        <v>0</v>
      </c>
      <c r="B25" s="906">
        <f>VLOOKUP(C25,'Vann og Avløp-utslippsfaktorer'!$A$3:$D$82,4,FALSE)</f>
        <v>320</v>
      </c>
      <c r="C25" s="668" t="s">
        <v>620</v>
      </c>
      <c r="D25" s="669"/>
      <c r="E25" s="519">
        <v>0</v>
      </c>
      <c r="F25" s="519">
        <v>100</v>
      </c>
      <c r="G25" s="519">
        <v>0</v>
      </c>
      <c r="H25" s="671">
        <v>0</v>
      </c>
      <c r="I25" s="672" t="s">
        <v>865</v>
      </c>
      <c r="J25" s="519" t="s">
        <v>648</v>
      </c>
      <c r="K25" s="519" t="s">
        <v>871</v>
      </c>
      <c r="L25" s="519" t="s">
        <v>868</v>
      </c>
      <c r="M25" s="921">
        <f>_xlfn.XLOOKUP(I25,'Utslippsfaktorer Transport'!$A$10:$A$19,'Utslippsfaktorer Transport'!$B$10:$B$19)*_xlfn.XLOOKUP(J25,'Utslippsfaktorer Transport'!$A$34:$A$52,'Utslippsfaktorer Transport'!$E$34:$E$52)</f>
        <v>64.47</v>
      </c>
      <c r="N25" s="911">
        <f>_xlfn.XLOOKUP(K25,'Utslippsfaktorer Transport'!$A$27:$A$29,'Utslippsfaktorer Transport'!$F$27:$F$29)</f>
        <v>17.5</v>
      </c>
      <c r="O25" s="912">
        <f>_xlfn.XLOOKUP(L25,'Utslippsfaktorer Transport'!$A$23:$A$25,'Utslippsfaktorer Transport'!$C$23:$C$25)</f>
        <v>0</v>
      </c>
      <c r="P25" s="313"/>
      <c r="Q25" s="313"/>
      <c r="R25" s="313"/>
      <c r="S25" s="313"/>
      <c r="T25" s="316"/>
      <c r="AG25" s="668" t="s">
        <v>620</v>
      </c>
      <c r="AH25" s="442">
        <f>E25*F25*_xlfn.XLOOKUP(I25,'Utslippsfaktorer Transport'!$A$9:$A$19,'Utslippsfaktorer Transport'!$B$9:$B$19)*_xlfn.XLOOKUP(J25,'Utslippsfaktorer Transport'!$A$33:$A$52,'Utslippsfaktorer Transport'!$B$33:$B$52)/1000</f>
        <v>0</v>
      </c>
      <c r="AI25" s="442">
        <f>E25*F25*_xlfn.XLOOKUP(I25,'Utslippsfaktorer Transport'!$A$9:$A$19,'Utslippsfaktorer Transport'!$B$9:$B$19)*_xlfn.XLOOKUP(J25,'Utslippsfaktorer Transport'!$A$33:$A$52,'Utslippsfaktorer Transport'!$C$33:$C$52)/1000</f>
        <v>0</v>
      </c>
      <c r="AJ25" s="442">
        <f>E25*F25*_xlfn.XLOOKUP(I25,'Utslippsfaktorer Transport'!$A$9:$A$19,'Utslippsfaktorer Transport'!$B$9:$B$19)*_xlfn.XLOOKUP(J25,'Utslippsfaktorer Transport'!$A$33:$A$52,'Utslippsfaktorer Transport'!$D$33:$D$52)/1000</f>
        <v>0</v>
      </c>
      <c r="AK25" s="904">
        <f>E25*G25*_xlfn.XLOOKUP(K25,'Utslippsfaktorer Transport'!$A$26:$A$29,'Utslippsfaktorer Transport'!$F$26:$F$29)/1000</f>
        <v>0</v>
      </c>
      <c r="AL25" s="904">
        <f>E25*G25*_xlfn.XLOOKUP(K25,'Utslippsfaktorer Transport'!$A$26:$A$29,'Utslippsfaktorer Transport'!$G$26:$G$29)/1000</f>
        <v>0</v>
      </c>
      <c r="AM25" s="904">
        <f>E25*G25*_xlfn.XLOOKUP(K25,'Utslippsfaktorer Transport'!$A$26:$A$29,'Utslippsfaktorer Transport'!$H$26:$H$29)/1000</f>
        <v>0</v>
      </c>
      <c r="AN25" s="442">
        <f>H25*E25*_xlfn.XLOOKUP(L25,'Utslippsfaktorer Transport'!$A$23:$A$25,'Utslippsfaktorer Transport'!$C$23:$C$25)/1000</f>
        <v>0</v>
      </c>
      <c r="AO25" s="442">
        <f>H25*E25*_xlfn.XLOOKUP(L25,'Utslippsfaktorer Transport'!$A$23:$A$25,'Utslippsfaktorer Transport'!$D$23:$D$25)/1000</f>
        <v>0</v>
      </c>
      <c r="AP25" s="902">
        <f>H25*E25*_xlfn.XLOOKUP(L25,'Utslippsfaktorer Transport'!$A$23:$A$25,'Utslippsfaktorer Transport'!$E$23:$E$25)/1000</f>
        <v>0</v>
      </c>
    </row>
    <row r="26" spans="1:42" ht="15.6" outlineLevel="1" x14ac:dyDescent="0.35">
      <c r="A26" s="405"/>
      <c r="B26" s="405"/>
      <c r="C26" s="432" t="s">
        <v>37</v>
      </c>
      <c r="D26" s="711"/>
      <c r="E26" s="710"/>
      <c r="F26" s="528"/>
      <c r="G26" s="528"/>
      <c r="H26" s="665"/>
      <c r="I26" s="373"/>
      <c r="J26" s="313"/>
      <c r="K26" s="313"/>
      <c r="L26" s="313"/>
      <c r="M26" s="313"/>
      <c r="N26" s="313"/>
      <c r="O26" s="316"/>
      <c r="T26" s="316"/>
      <c r="AG26" s="432" t="s">
        <v>37</v>
      </c>
      <c r="AH26" s="313"/>
      <c r="AI26" s="313"/>
      <c r="AJ26" s="313"/>
      <c r="AK26" s="657"/>
      <c r="AL26" s="657"/>
      <c r="AM26" s="657"/>
      <c r="AN26" s="313"/>
      <c r="AO26" s="313"/>
      <c r="AP26" s="316"/>
    </row>
    <row r="27" spans="1:42" outlineLevel="1" x14ac:dyDescent="0.3">
      <c r="A27" s="676">
        <v>0</v>
      </c>
      <c r="B27" s="906">
        <f>VLOOKUP(C27,'Vann og Avløp-utslippsfaktorer'!$A$3:$D$82,4,FALSE)</f>
        <v>304</v>
      </c>
      <c r="C27" s="518" t="s">
        <v>272</v>
      </c>
      <c r="D27" s="331"/>
      <c r="E27" s="315">
        <v>0</v>
      </c>
      <c r="F27" s="677">
        <v>100</v>
      </c>
      <c r="G27" s="677">
        <v>0</v>
      </c>
      <c r="H27" s="678">
        <v>0</v>
      </c>
      <c r="I27" s="679" t="s">
        <v>865</v>
      </c>
      <c r="J27" s="677" t="s">
        <v>648</v>
      </c>
      <c r="K27" s="677" t="s">
        <v>871</v>
      </c>
      <c r="L27" s="677" t="s">
        <v>868</v>
      </c>
      <c r="M27" s="917">
        <f>_xlfn.XLOOKUP(I27,'Utslippsfaktorer Transport'!$A$10:$A$19,'Utslippsfaktorer Transport'!$B$10:$B$19)*_xlfn.XLOOKUP(J27,'Utslippsfaktorer Transport'!$A$34:$A$52,'Utslippsfaktorer Transport'!$E$34:$E$52)</f>
        <v>64.47</v>
      </c>
      <c r="N27" s="918">
        <f>_xlfn.XLOOKUP(K27,'Utslippsfaktorer Transport'!$A$27:$A$29,'Utslippsfaktorer Transport'!$F$27:$F$29)</f>
        <v>17.5</v>
      </c>
      <c r="O27" s="919">
        <f>_xlfn.XLOOKUP(L27,'Utslippsfaktorer Transport'!$A$23:$A$25,'Utslippsfaktorer Transport'!$C$23:$C$25)</f>
        <v>0</v>
      </c>
      <c r="T27" s="316"/>
      <c r="AG27" s="518" t="s">
        <v>272</v>
      </c>
      <c r="AH27" s="911">
        <f>E27*F27*_xlfn.XLOOKUP(I27,'Utslippsfaktorer Transport'!$A$9:$A$19,'Utslippsfaktorer Transport'!$B$9:$B$19)*_xlfn.XLOOKUP(J27,'Utslippsfaktorer Transport'!$A$33:$A$52,'Utslippsfaktorer Transport'!$B$33:$B$52)/1000</f>
        <v>0</v>
      </c>
      <c r="AI27" s="911">
        <f>E27*F27*_xlfn.XLOOKUP(I27,'Utslippsfaktorer Transport'!$A$9:$A$19,'Utslippsfaktorer Transport'!$B$9:$B$19)*_xlfn.XLOOKUP(J27,'Utslippsfaktorer Transport'!$A$33:$A$52,'Utslippsfaktorer Transport'!$C$33:$C$52)/1000</f>
        <v>0</v>
      </c>
      <c r="AJ27" s="911">
        <f>E27*F27*_xlfn.XLOOKUP(I27,'Utslippsfaktorer Transport'!$A$9:$A$19,'Utslippsfaktorer Transport'!$B$9:$B$19)*_xlfn.XLOOKUP(J27,'Utslippsfaktorer Transport'!$A$33:$A$52,'Utslippsfaktorer Transport'!$D$33:$D$52)/1000</f>
        <v>0</v>
      </c>
      <c r="AK27" s="920">
        <f>E27*G27*_xlfn.XLOOKUP(K27,'Utslippsfaktorer Transport'!$A$26:$A$29,'Utslippsfaktorer Transport'!$F$26:$F$29)/1000</f>
        <v>0</v>
      </c>
      <c r="AL27" s="920">
        <f>E27*G27*_xlfn.XLOOKUP(K27,'Utslippsfaktorer Transport'!$A$26:$A$29,'Utslippsfaktorer Transport'!$G$26:$G$29)/1000</f>
        <v>0</v>
      </c>
      <c r="AM27" s="920">
        <f>E27*G27*_xlfn.XLOOKUP(K27,'Utslippsfaktorer Transport'!$A$26:$A$29,'Utslippsfaktorer Transport'!$H$26:$H$29)/1000</f>
        <v>0</v>
      </c>
      <c r="AN27" s="911">
        <f>H27*E27*_xlfn.XLOOKUP(L27,'Utslippsfaktorer Transport'!$A$23:$A$25,'Utslippsfaktorer Transport'!$C$23:$C$25)/1000</f>
        <v>0</v>
      </c>
      <c r="AO27" s="911">
        <f>H27*E27*_xlfn.XLOOKUP(L27,'Utslippsfaktorer Transport'!$A$23:$A$25,'Utslippsfaktorer Transport'!$D$23:$D$25)/1000</f>
        <v>0</v>
      </c>
      <c r="AP27" s="912">
        <f>H27*E27*_xlfn.XLOOKUP(L27,'Utslippsfaktorer Transport'!$A$23:$A$25,'Utslippsfaktorer Transport'!$E$23:$E$25)/1000</f>
        <v>0</v>
      </c>
    </row>
    <row r="28" spans="1:42" ht="15.6" outlineLevel="1" x14ac:dyDescent="0.35">
      <c r="A28" s="405"/>
      <c r="B28" s="674"/>
      <c r="C28" s="432" t="s">
        <v>39</v>
      </c>
      <c r="D28" s="675"/>
      <c r="E28" s="664"/>
      <c r="F28" s="673"/>
      <c r="G28" s="673"/>
      <c r="H28" s="523"/>
      <c r="I28" s="373"/>
      <c r="J28" s="313"/>
      <c r="K28" s="313"/>
      <c r="L28" s="313"/>
      <c r="M28" s="313"/>
      <c r="N28" s="313"/>
      <c r="O28" s="316"/>
      <c r="T28" s="316"/>
      <c r="AG28" s="432" t="s">
        <v>39</v>
      </c>
      <c r="AH28" s="313"/>
      <c r="AI28" s="313"/>
      <c r="AJ28" s="313"/>
      <c r="AK28" s="657"/>
      <c r="AL28" s="657"/>
      <c r="AM28" s="657"/>
      <c r="AN28" s="313"/>
      <c r="AO28" s="313"/>
      <c r="AP28" s="316"/>
    </row>
    <row r="29" spans="1:42" outlineLevel="1" x14ac:dyDescent="0.3">
      <c r="A29" s="676">
        <v>0</v>
      </c>
      <c r="B29" s="906">
        <f>VLOOKUP(C29,'Vann og Avløp-utslippsfaktorer'!$A$3:$D$82,4,FALSE)</f>
        <v>82</v>
      </c>
      <c r="C29" s="518" t="s">
        <v>38</v>
      </c>
      <c r="D29" s="313"/>
      <c r="E29" s="315">
        <v>0</v>
      </c>
      <c r="F29" s="360">
        <v>100</v>
      </c>
      <c r="G29" s="360">
        <v>0</v>
      </c>
      <c r="H29" s="361">
        <v>0</v>
      </c>
      <c r="I29" s="679" t="s">
        <v>865</v>
      </c>
      <c r="J29" s="677" t="s">
        <v>648</v>
      </c>
      <c r="K29" s="677" t="s">
        <v>871</v>
      </c>
      <c r="L29" s="677" t="s">
        <v>868</v>
      </c>
      <c r="M29" s="917">
        <f>_xlfn.XLOOKUP(I29,'Utslippsfaktorer Transport'!$A$10:$A$19,'Utslippsfaktorer Transport'!$B$10:$B$19)*_xlfn.XLOOKUP(J29,'Utslippsfaktorer Transport'!$A$34:$A$52,'Utslippsfaktorer Transport'!$E$34:$E$52)</f>
        <v>64.47</v>
      </c>
      <c r="N29" s="918">
        <f>_xlfn.XLOOKUP(K29,'Utslippsfaktorer Transport'!$A$27:$A$29,'Utslippsfaktorer Transport'!$F$27:$F$29)</f>
        <v>17.5</v>
      </c>
      <c r="O29" s="919">
        <f>_xlfn.XLOOKUP(L29,'Utslippsfaktorer Transport'!$A$23:$A$25,'Utslippsfaktorer Transport'!$C$23:$C$25)</f>
        <v>0</v>
      </c>
      <c r="T29" s="316"/>
      <c r="AG29" s="518" t="s">
        <v>38</v>
      </c>
      <c r="AH29" s="911">
        <f>E29*F29*_xlfn.XLOOKUP(I29,'Utslippsfaktorer Transport'!$A$9:$A$19,'Utslippsfaktorer Transport'!$B$9:$B$19)*_xlfn.XLOOKUP(J29,'Utslippsfaktorer Transport'!$A$33:$A$52,'Utslippsfaktorer Transport'!$B$33:$B$52)/1000</f>
        <v>0</v>
      </c>
      <c r="AI29" s="911">
        <f>E29*F29*_xlfn.XLOOKUP(I29,'Utslippsfaktorer Transport'!$A$9:$A$19,'Utslippsfaktorer Transport'!$B$9:$B$19)*_xlfn.XLOOKUP(J29,'Utslippsfaktorer Transport'!$A$33:$A$52,'Utslippsfaktorer Transport'!$C$33:$C$52)/1000</f>
        <v>0</v>
      </c>
      <c r="AJ29" s="911">
        <f>E29*F29*_xlfn.XLOOKUP(I29,'Utslippsfaktorer Transport'!$A$9:$A$19,'Utslippsfaktorer Transport'!$B$9:$B$19)*_xlfn.XLOOKUP(J29,'Utslippsfaktorer Transport'!$A$33:$A$52,'Utslippsfaktorer Transport'!$D$33:$D$52)/1000</f>
        <v>0</v>
      </c>
      <c r="AK29" s="920">
        <f>E29*G29*_xlfn.XLOOKUP(K29,'Utslippsfaktorer Transport'!$A$26:$A$29,'Utslippsfaktorer Transport'!$F$26:$F$29)/1000</f>
        <v>0</v>
      </c>
      <c r="AL29" s="920">
        <f>E29*G29*_xlfn.XLOOKUP(K29,'Utslippsfaktorer Transport'!$A$26:$A$29,'Utslippsfaktorer Transport'!$G$26:$G$29)/1000</f>
        <v>0</v>
      </c>
      <c r="AM29" s="920">
        <f>E29*G29*_xlfn.XLOOKUP(K29,'Utslippsfaktorer Transport'!$A$26:$A$29,'Utslippsfaktorer Transport'!$H$26:$H$29)/1000</f>
        <v>0</v>
      </c>
      <c r="AN29" s="911">
        <f>H29*E29*_xlfn.XLOOKUP(L29,'Utslippsfaktorer Transport'!$A$23:$A$25,'Utslippsfaktorer Transport'!$C$23:$C$25)/1000</f>
        <v>0</v>
      </c>
      <c r="AO29" s="911">
        <f>H29*E29*_xlfn.XLOOKUP(L29,'Utslippsfaktorer Transport'!$A$23:$A$25,'Utslippsfaktorer Transport'!$D$23:$D$25)/1000</f>
        <v>0</v>
      </c>
      <c r="AP29" s="912">
        <f>H29*E29*_xlfn.XLOOKUP(L29,'Utslippsfaktorer Transport'!$A$23:$A$25,'Utslippsfaktorer Transport'!$E$23:$E$25)/1000</f>
        <v>0</v>
      </c>
    </row>
    <row r="30" spans="1:42" ht="15.6" outlineLevel="1" x14ac:dyDescent="0.35">
      <c r="A30" s="405"/>
      <c r="B30" s="674"/>
      <c r="C30" s="680" t="s">
        <v>40</v>
      </c>
      <c r="D30" s="681"/>
      <c r="E30" s="664"/>
      <c r="F30" s="528"/>
      <c r="G30" s="528"/>
      <c r="H30" s="665"/>
      <c r="I30" s="373"/>
      <c r="J30" s="313"/>
      <c r="K30" s="313"/>
      <c r="L30" s="313"/>
      <c r="M30" s="313"/>
      <c r="N30" s="313"/>
      <c r="O30" s="316"/>
      <c r="T30" s="316"/>
      <c r="AG30" s="680" t="s">
        <v>40</v>
      </c>
      <c r="AH30" s="313"/>
      <c r="AI30" s="313"/>
      <c r="AJ30" s="313"/>
      <c r="AK30" s="657"/>
      <c r="AL30" s="657"/>
      <c r="AM30" s="657"/>
      <c r="AN30" s="313"/>
      <c r="AO30" s="313"/>
      <c r="AP30" s="316"/>
    </row>
    <row r="31" spans="1:42" outlineLevel="1" x14ac:dyDescent="0.3">
      <c r="A31" s="676">
        <v>0</v>
      </c>
      <c r="B31" s="906">
        <f>VLOOKUP(C31,'Vann og Avløp-utslippsfaktorer'!$A$3:$D$82,4,FALSE)</f>
        <v>153</v>
      </c>
      <c r="C31" s="518" t="s">
        <v>41</v>
      </c>
      <c r="D31" s="313"/>
      <c r="E31" s="315">
        <v>0</v>
      </c>
      <c r="F31" s="360">
        <v>100</v>
      </c>
      <c r="G31" s="360">
        <v>0</v>
      </c>
      <c r="H31" s="361">
        <v>0</v>
      </c>
      <c r="I31" s="679" t="s">
        <v>865</v>
      </c>
      <c r="J31" s="677" t="s">
        <v>648</v>
      </c>
      <c r="K31" s="677" t="s">
        <v>871</v>
      </c>
      <c r="L31" s="677" t="s">
        <v>868</v>
      </c>
      <c r="M31" s="917">
        <f>_xlfn.XLOOKUP(I31,'Utslippsfaktorer Transport'!$A$10:$A$19,'Utslippsfaktorer Transport'!$B$10:$B$19)*_xlfn.XLOOKUP(J31,'Utslippsfaktorer Transport'!$A$34:$A$52,'Utslippsfaktorer Transport'!$E$34:$E$52)</f>
        <v>64.47</v>
      </c>
      <c r="N31" s="918">
        <f>_xlfn.XLOOKUP(K31,'Utslippsfaktorer Transport'!$A$27:$A$29,'Utslippsfaktorer Transport'!$F$27:$F$29)</f>
        <v>17.5</v>
      </c>
      <c r="O31" s="919">
        <f>_xlfn.XLOOKUP(L31,'Utslippsfaktorer Transport'!$A$23:$A$25,'Utslippsfaktorer Transport'!$C$23:$C$25)</f>
        <v>0</v>
      </c>
      <c r="T31" s="316"/>
      <c r="AG31" s="518" t="s">
        <v>41</v>
      </c>
      <c r="AH31" s="911">
        <f>E31*F31*_xlfn.XLOOKUP(I31,'Utslippsfaktorer Transport'!$A$9:$A$19,'Utslippsfaktorer Transport'!$B$9:$B$19)*_xlfn.XLOOKUP(J31,'Utslippsfaktorer Transport'!$A$33:$A$52,'Utslippsfaktorer Transport'!$B$33:$B$52)/1000</f>
        <v>0</v>
      </c>
      <c r="AI31" s="911">
        <f>E31*F31*_xlfn.XLOOKUP(I31,'Utslippsfaktorer Transport'!$A$9:$A$19,'Utslippsfaktorer Transport'!$B$9:$B$19)*_xlfn.XLOOKUP(J31,'Utslippsfaktorer Transport'!$A$33:$A$52,'Utslippsfaktorer Transport'!$C$33:$C$52)/1000</f>
        <v>0</v>
      </c>
      <c r="AJ31" s="911">
        <f>E31*F31*_xlfn.XLOOKUP(I31,'Utslippsfaktorer Transport'!$A$9:$A$19,'Utslippsfaktorer Transport'!$B$9:$B$19)*_xlfn.XLOOKUP(J31,'Utslippsfaktorer Transport'!$A$33:$A$52,'Utslippsfaktorer Transport'!$D$33:$D$52)/1000</f>
        <v>0</v>
      </c>
      <c r="AK31" s="920">
        <f>E31*G31*_xlfn.XLOOKUP(K31,'Utslippsfaktorer Transport'!$A$26:$A$29,'Utslippsfaktorer Transport'!$F$26:$F$29)/1000</f>
        <v>0</v>
      </c>
      <c r="AL31" s="920">
        <f>E31*G31*_xlfn.XLOOKUP(K31,'Utslippsfaktorer Transport'!$A$26:$A$29,'Utslippsfaktorer Transport'!$G$26:$G$29)/1000</f>
        <v>0</v>
      </c>
      <c r="AM31" s="920">
        <f>E31*G31*_xlfn.XLOOKUP(K31,'Utslippsfaktorer Transport'!$A$26:$A$29,'Utslippsfaktorer Transport'!$H$26:$H$29)/1000</f>
        <v>0</v>
      </c>
      <c r="AN31" s="911">
        <f>H31*E31*_xlfn.XLOOKUP(L31,'Utslippsfaktorer Transport'!$A$23:$A$25,'Utslippsfaktorer Transport'!$C$23:$C$25)/1000</f>
        <v>0</v>
      </c>
      <c r="AO31" s="911">
        <f>H31*E31*_xlfn.XLOOKUP(L31,'Utslippsfaktorer Transport'!$A$23:$A$25,'Utslippsfaktorer Transport'!$D$23:$D$25)/1000</f>
        <v>0</v>
      </c>
      <c r="AP31" s="912">
        <f>H31*E31*_xlfn.XLOOKUP(L31,'Utslippsfaktorer Transport'!$A$23:$A$25,'Utslippsfaktorer Transport'!$E$23:$E$25)/1000</f>
        <v>0</v>
      </c>
    </row>
    <row r="32" spans="1:42" ht="15.6" outlineLevel="1" x14ac:dyDescent="0.35">
      <c r="A32" s="405"/>
      <c r="B32" s="674"/>
      <c r="C32" s="680" t="s">
        <v>42</v>
      </c>
      <c r="D32" s="681"/>
      <c r="E32" s="664"/>
      <c r="F32" s="528"/>
      <c r="G32" s="528"/>
      <c r="H32" s="665"/>
      <c r="I32" s="373"/>
      <c r="J32" s="313"/>
      <c r="K32" s="313"/>
      <c r="L32" s="313"/>
      <c r="M32" s="313"/>
      <c r="N32" s="313"/>
      <c r="O32" s="316"/>
      <c r="T32" s="316"/>
      <c r="AG32" s="680" t="s">
        <v>42</v>
      </c>
      <c r="AH32" s="313"/>
      <c r="AI32" s="313"/>
      <c r="AJ32" s="313"/>
      <c r="AK32" s="657"/>
      <c r="AL32" s="657"/>
      <c r="AM32" s="657"/>
      <c r="AN32" s="313"/>
      <c r="AO32" s="313"/>
      <c r="AP32" s="316"/>
    </row>
    <row r="33" spans="1:42" outlineLevel="1" x14ac:dyDescent="0.3">
      <c r="A33" s="372">
        <v>0</v>
      </c>
      <c r="B33" s="906">
        <f>VLOOKUP(C33,'Vann og Avløp-utslippsfaktorer'!$A$3:$D$82,4,FALSE)</f>
        <v>145</v>
      </c>
      <c r="C33" s="373" t="s">
        <v>383</v>
      </c>
      <c r="D33" s="313"/>
      <c r="E33" s="315">
        <v>0</v>
      </c>
      <c r="F33" s="360">
        <v>100</v>
      </c>
      <c r="G33" s="360">
        <v>0</v>
      </c>
      <c r="H33" s="361">
        <v>0</v>
      </c>
      <c r="I33" s="682" t="s">
        <v>865</v>
      </c>
      <c r="J33" s="484" t="s">
        <v>648</v>
      </c>
      <c r="K33" s="484" t="s">
        <v>871</v>
      </c>
      <c r="L33" s="484" t="s">
        <v>868</v>
      </c>
      <c r="M33" s="899">
        <f>_xlfn.XLOOKUP(I33,'Utslippsfaktorer Transport'!$A$10:$A$19,'Utslippsfaktorer Transport'!$B$10:$B$19)*_xlfn.XLOOKUP(J33,'Utslippsfaktorer Transport'!$A$34:$A$52,'Utslippsfaktorer Transport'!$E$34:$E$52)</f>
        <v>64.47</v>
      </c>
      <c r="N33" s="900">
        <f>_xlfn.XLOOKUP(K33,'Utslippsfaktorer Transport'!$A$27:$A$29,'Utslippsfaktorer Transport'!$F$27:$F$29)</f>
        <v>17.5</v>
      </c>
      <c r="O33" s="901">
        <f>_xlfn.XLOOKUP(L33,'Utslippsfaktorer Transport'!$A$23:$A$25,'Utslippsfaktorer Transport'!$C$23:$C$25)</f>
        <v>0</v>
      </c>
      <c r="T33" s="316"/>
      <c r="AG33" s="373" t="s">
        <v>383</v>
      </c>
      <c r="AH33" s="442">
        <f>E33*F33*_xlfn.XLOOKUP(I33,'Utslippsfaktorer Transport'!$A$9:$A$19,'Utslippsfaktorer Transport'!$B$9:$B$19)*_xlfn.XLOOKUP(J33,'Utslippsfaktorer Transport'!$A$33:$A$52,'Utslippsfaktorer Transport'!$B$33:$B$52)/1000</f>
        <v>0</v>
      </c>
      <c r="AI33" s="442">
        <f>E33*F33*_xlfn.XLOOKUP(I33,'Utslippsfaktorer Transport'!$A$9:$A$19,'Utslippsfaktorer Transport'!$B$9:$B$19)*_xlfn.XLOOKUP(J33,'Utslippsfaktorer Transport'!$A$33:$A$52,'Utslippsfaktorer Transport'!$C$33:$C$52)/1000</f>
        <v>0</v>
      </c>
      <c r="AJ33" s="442">
        <f>E33*F33*_xlfn.XLOOKUP(I33,'Utslippsfaktorer Transport'!$A$9:$A$19,'Utslippsfaktorer Transport'!$B$9:$B$19)*_xlfn.XLOOKUP(J33,'Utslippsfaktorer Transport'!$A$33:$A$52,'Utslippsfaktorer Transport'!$D$33:$D$52)/1000</f>
        <v>0</v>
      </c>
      <c r="AK33" s="904">
        <f>E33*G33*_xlfn.XLOOKUP(K33,'Utslippsfaktorer Transport'!$A$26:$A$29,'Utslippsfaktorer Transport'!$F$26:$F$29)/1000</f>
        <v>0</v>
      </c>
      <c r="AL33" s="904">
        <f>E33*G33*_xlfn.XLOOKUP(K33,'Utslippsfaktorer Transport'!$A$26:$A$29,'Utslippsfaktorer Transport'!$G$26:$G$29)/1000</f>
        <v>0</v>
      </c>
      <c r="AM33" s="904">
        <f>E33*G33*_xlfn.XLOOKUP(K33,'Utslippsfaktorer Transport'!$A$26:$A$29,'Utslippsfaktorer Transport'!$H$26:$H$29)/1000</f>
        <v>0</v>
      </c>
      <c r="AN33" s="442">
        <f>H33*E33*_xlfn.XLOOKUP(L33,'Utslippsfaktorer Transport'!$A$23:$A$25,'Utslippsfaktorer Transport'!$C$23:$C$25)/1000</f>
        <v>0</v>
      </c>
      <c r="AO33" s="442">
        <f>H33*E33*_xlfn.XLOOKUP(L33,'Utslippsfaktorer Transport'!$A$23:$A$25,'Utslippsfaktorer Transport'!$D$23:$D$25)/1000</f>
        <v>0</v>
      </c>
      <c r="AP33" s="902">
        <f>H33*E33*_xlfn.XLOOKUP(L33,'Utslippsfaktorer Transport'!$A$23:$A$25,'Utslippsfaktorer Transport'!$E$23:$E$25)/1000</f>
        <v>0</v>
      </c>
    </row>
    <row r="34" spans="1:42" outlineLevel="1" x14ac:dyDescent="0.3">
      <c r="A34" s="676">
        <v>0</v>
      </c>
      <c r="B34" s="906">
        <f>VLOOKUP(C34,'Vann og Avløp-utslippsfaktorer'!$A$3:$D$82,4,FALSE)</f>
        <v>145</v>
      </c>
      <c r="C34" s="518" t="s">
        <v>43</v>
      </c>
      <c r="D34" s="670"/>
      <c r="E34" s="315">
        <v>0</v>
      </c>
      <c r="F34" s="360">
        <v>100</v>
      </c>
      <c r="G34" s="360">
        <v>0</v>
      </c>
      <c r="H34" s="361">
        <v>0</v>
      </c>
      <c r="I34" s="672" t="s">
        <v>865</v>
      </c>
      <c r="J34" s="519" t="s">
        <v>648</v>
      </c>
      <c r="K34" s="519" t="s">
        <v>871</v>
      </c>
      <c r="L34" s="519" t="s">
        <v>868</v>
      </c>
      <c r="M34" s="921">
        <f>_xlfn.XLOOKUP(I34,'Utslippsfaktorer Transport'!$A$10:$A$19,'Utslippsfaktorer Transport'!$B$10:$B$19)*_xlfn.XLOOKUP(J34,'Utslippsfaktorer Transport'!$A$34:$A$52,'Utslippsfaktorer Transport'!$E$34:$E$52)</f>
        <v>64.47</v>
      </c>
      <c r="N34" s="911">
        <f>_xlfn.XLOOKUP(K34,'Utslippsfaktorer Transport'!$A$27:$A$29,'Utslippsfaktorer Transport'!$F$27:$F$29)</f>
        <v>17.5</v>
      </c>
      <c r="O34" s="912">
        <f>_xlfn.XLOOKUP(L34,'Utslippsfaktorer Transport'!$A$23:$A$25,'Utslippsfaktorer Transport'!$C$23:$C$25)</f>
        <v>0</v>
      </c>
      <c r="T34" s="316"/>
      <c r="AG34" s="518" t="s">
        <v>43</v>
      </c>
      <c r="AH34" s="911">
        <f>E34*F34*_xlfn.XLOOKUP(I34,'Utslippsfaktorer Transport'!$A$9:$A$19,'Utslippsfaktorer Transport'!$B$9:$B$19)*_xlfn.XLOOKUP(J34,'Utslippsfaktorer Transport'!$A$33:$A$52,'Utslippsfaktorer Transport'!$B$33:$B$52)/1000</f>
        <v>0</v>
      </c>
      <c r="AI34" s="911">
        <f>E34*F34*_xlfn.XLOOKUP(I34,'Utslippsfaktorer Transport'!$A$9:$A$19,'Utslippsfaktorer Transport'!$B$9:$B$19)*_xlfn.XLOOKUP(J34,'Utslippsfaktorer Transport'!$A$33:$A$52,'Utslippsfaktorer Transport'!$C$33:$C$52)/1000</f>
        <v>0</v>
      </c>
      <c r="AJ34" s="911">
        <f>E34*F34*_xlfn.XLOOKUP(I34,'Utslippsfaktorer Transport'!$A$9:$A$19,'Utslippsfaktorer Transport'!$B$9:$B$19)*_xlfn.XLOOKUP(J34,'Utslippsfaktorer Transport'!$A$33:$A$52,'Utslippsfaktorer Transport'!$D$33:$D$52)/1000</f>
        <v>0</v>
      </c>
      <c r="AK34" s="920">
        <f>E34*G34*_xlfn.XLOOKUP(K34,'Utslippsfaktorer Transport'!$A$26:$A$29,'Utslippsfaktorer Transport'!$F$26:$F$29)/1000</f>
        <v>0</v>
      </c>
      <c r="AL34" s="920">
        <f>E34*G34*_xlfn.XLOOKUP(K34,'Utslippsfaktorer Transport'!$A$26:$A$29,'Utslippsfaktorer Transport'!$G$26:$G$29)/1000</f>
        <v>0</v>
      </c>
      <c r="AM34" s="920">
        <f>E34*G34*_xlfn.XLOOKUP(K34,'Utslippsfaktorer Transport'!$A$26:$A$29,'Utslippsfaktorer Transport'!$H$26:$H$29)/1000</f>
        <v>0</v>
      </c>
      <c r="AN34" s="911">
        <f>H34*E34*_xlfn.XLOOKUP(L34,'Utslippsfaktorer Transport'!$A$23:$A$25,'Utslippsfaktorer Transport'!$C$23:$C$25)/1000</f>
        <v>0</v>
      </c>
      <c r="AO34" s="911">
        <f>H34*E34*_xlfn.XLOOKUP(L34,'Utslippsfaktorer Transport'!$A$23:$A$25,'Utslippsfaktorer Transport'!$D$23:$D$25)/1000</f>
        <v>0</v>
      </c>
      <c r="AP34" s="912">
        <f>H34*E34*_xlfn.XLOOKUP(L34,'Utslippsfaktorer Transport'!$A$23:$A$25,'Utslippsfaktorer Transport'!$E$23:$E$25)/1000</f>
        <v>0</v>
      </c>
    </row>
    <row r="35" spans="1:42" outlineLevel="1" x14ac:dyDescent="0.3">
      <c r="A35" s="405"/>
      <c r="B35" s="674"/>
      <c r="C35" s="432" t="s">
        <v>44</v>
      </c>
      <c r="D35" s="712"/>
      <c r="E35" s="664"/>
      <c r="F35" s="528"/>
      <c r="G35" s="528"/>
      <c r="H35" s="665"/>
      <c r="I35" s="373"/>
      <c r="J35" s="313"/>
      <c r="K35" s="313"/>
      <c r="L35" s="313"/>
      <c r="M35" s="313"/>
      <c r="N35" s="313"/>
      <c r="O35" s="316"/>
      <c r="T35" s="316"/>
      <c r="AG35" s="432" t="s">
        <v>44</v>
      </c>
      <c r="AH35" s="313"/>
      <c r="AI35" s="313"/>
      <c r="AJ35" s="313"/>
      <c r="AK35" s="657"/>
      <c r="AL35" s="657"/>
      <c r="AM35" s="657"/>
      <c r="AN35" s="313"/>
      <c r="AO35" s="313"/>
      <c r="AP35" s="316"/>
    </row>
    <row r="36" spans="1:42" outlineLevel="1" x14ac:dyDescent="0.3">
      <c r="A36" s="676">
        <v>0</v>
      </c>
      <c r="B36" s="906">
        <f>VLOOKUP(C36,'Vann og Avløp-utslippsfaktorer'!$A$3:$D$82,4,FALSE)</f>
        <v>420</v>
      </c>
      <c r="C36" s="518" t="s">
        <v>45</v>
      </c>
      <c r="D36" s="313"/>
      <c r="E36" s="315">
        <v>0</v>
      </c>
      <c r="F36" s="360">
        <v>100</v>
      </c>
      <c r="G36" s="360">
        <v>0</v>
      </c>
      <c r="H36" s="361">
        <v>0</v>
      </c>
      <c r="I36" s="679" t="s">
        <v>865</v>
      </c>
      <c r="J36" s="677" t="s">
        <v>648</v>
      </c>
      <c r="K36" s="677" t="s">
        <v>871</v>
      </c>
      <c r="L36" s="677" t="s">
        <v>868</v>
      </c>
      <c r="M36" s="917">
        <f>_xlfn.XLOOKUP(I36,'Utslippsfaktorer Transport'!$A$10:$A$19,'Utslippsfaktorer Transport'!$B$10:$B$19)*_xlfn.XLOOKUP(J36,'Utslippsfaktorer Transport'!$A$34:$A$52,'Utslippsfaktorer Transport'!$E$34:$E$52)</f>
        <v>64.47</v>
      </c>
      <c r="N36" s="918">
        <f>_xlfn.XLOOKUP(K36,'Utslippsfaktorer Transport'!$A$27:$A$29,'Utslippsfaktorer Transport'!$F$27:$F$29)</f>
        <v>17.5</v>
      </c>
      <c r="O36" s="919">
        <f>_xlfn.XLOOKUP(L36,'Utslippsfaktorer Transport'!$A$23:$A$25,'Utslippsfaktorer Transport'!$C$23:$C$25)</f>
        <v>0</v>
      </c>
      <c r="T36" s="316"/>
      <c r="AG36" s="518" t="s">
        <v>45</v>
      </c>
      <c r="AH36" s="911">
        <f>E36*F36*_xlfn.XLOOKUP(I36,'Utslippsfaktorer Transport'!$A$9:$A$19,'Utslippsfaktorer Transport'!$B$9:$B$19)*_xlfn.XLOOKUP(J36,'Utslippsfaktorer Transport'!$A$33:$A$52,'Utslippsfaktorer Transport'!$B$33:$B$52)/1000</f>
        <v>0</v>
      </c>
      <c r="AI36" s="911">
        <f>E36*F36*_xlfn.XLOOKUP(I36,'Utslippsfaktorer Transport'!$A$9:$A$19,'Utslippsfaktorer Transport'!$B$9:$B$19)*_xlfn.XLOOKUP(J36,'Utslippsfaktorer Transport'!$A$33:$A$52,'Utslippsfaktorer Transport'!$C$33:$C$52)/1000</f>
        <v>0</v>
      </c>
      <c r="AJ36" s="911">
        <f>E36*F36*_xlfn.XLOOKUP(I36,'Utslippsfaktorer Transport'!$A$9:$A$19,'Utslippsfaktorer Transport'!$B$9:$B$19)*_xlfn.XLOOKUP(J36,'Utslippsfaktorer Transport'!$A$33:$A$52,'Utslippsfaktorer Transport'!$D$33:$D$52)/1000</f>
        <v>0</v>
      </c>
      <c r="AK36" s="920">
        <f>E36*G36*_xlfn.XLOOKUP(K36,'Utslippsfaktorer Transport'!$A$26:$A$29,'Utslippsfaktorer Transport'!$F$26:$F$29)/1000</f>
        <v>0</v>
      </c>
      <c r="AL36" s="920">
        <f>E36*G36*_xlfn.XLOOKUP(K36,'Utslippsfaktorer Transport'!$A$26:$A$29,'Utslippsfaktorer Transport'!$G$26:$G$29)/1000</f>
        <v>0</v>
      </c>
      <c r="AM36" s="920">
        <f>E36*G36*_xlfn.XLOOKUP(K36,'Utslippsfaktorer Transport'!$A$26:$A$29,'Utslippsfaktorer Transport'!$H$26:$H$29)/1000</f>
        <v>0</v>
      </c>
      <c r="AN36" s="911">
        <f>H36*E36*_xlfn.XLOOKUP(L36,'Utslippsfaktorer Transport'!$A$23:$A$25,'Utslippsfaktorer Transport'!$C$23:$C$25)/1000</f>
        <v>0</v>
      </c>
      <c r="AO36" s="911">
        <f>H36*E36*_xlfn.XLOOKUP(L36,'Utslippsfaktorer Transport'!$A$23:$A$25,'Utslippsfaktorer Transport'!$D$23:$D$25)/1000</f>
        <v>0</v>
      </c>
      <c r="AP36" s="912">
        <f>H36*E36*_xlfn.XLOOKUP(L36,'Utslippsfaktorer Transport'!$A$23:$A$25,'Utslippsfaktorer Transport'!$E$23:$E$25)/1000</f>
        <v>0</v>
      </c>
    </row>
    <row r="37" spans="1:42" outlineLevel="1" x14ac:dyDescent="0.3">
      <c r="A37" s="405"/>
      <c r="B37" s="674"/>
      <c r="C37" s="680" t="s">
        <v>46</v>
      </c>
      <c r="D37" s="681"/>
      <c r="E37" s="664"/>
      <c r="F37" s="528"/>
      <c r="G37" s="528"/>
      <c r="H37" s="665"/>
      <c r="I37" s="373"/>
      <c r="J37" s="313"/>
      <c r="K37" s="313"/>
      <c r="L37" s="313"/>
      <c r="M37" s="313"/>
      <c r="N37" s="313"/>
      <c r="O37" s="316"/>
      <c r="T37" s="316"/>
      <c r="AG37" s="680" t="s">
        <v>46</v>
      </c>
      <c r="AH37" s="313"/>
      <c r="AI37" s="313"/>
      <c r="AJ37" s="313"/>
      <c r="AK37" s="657"/>
      <c r="AL37" s="657"/>
      <c r="AM37" s="657"/>
      <c r="AN37" s="313"/>
      <c r="AO37" s="313"/>
      <c r="AP37" s="316"/>
    </row>
    <row r="38" spans="1:42" outlineLevel="1" x14ac:dyDescent="0.3">
      <c r="A38" s="372">
        <v>0</v>
      </c>
      <c r="B38" s="906">
        <f>VLOOKUP(C38,'Vann og Avløp-utslippsfaktorer'!$A$3:$D$82,4,FALSE)</f>
        <v>455</v>
      </c>
      <c r="C38" s="373" t="s">
        <v>47</v>
      </c>
      <c r="D38" s="313"/>
      <c r="E38" s="315">
        <v>0</v>
      </c>
      <c r="F38" s="360">
        <v>100</v>
      </c>
      <c r="G38" s="360">
        <v>0</v>
      </c>
      <c r="H38" s="361">
        <v>0</v>
      </c>
      <c r="I38" s="682" t="s">
        <v>865</v>
      </c>
      <c r="J38" s="484" t="s">
        <v>648</v>
      </c>
      <c r="K38" s="484" t="s">
        <v>871</v>
      </c>
      <c r="L38" s="484" t="s">
        <v>868</v>
      </c>
      <c r="M38" s="899">
        <f>_xlfn.XLOOKUP(I38,'Utslippsfaktorer Transport'!$A$10:$A$19,'Utslippsfaktorer Transport'!$B$10:$B$19)*_xlfn.XLOOKUP(J38,'Utslippsfaktorer Transport'!$A$34:$A$52,'Utslippsfaktorer Transport'!$E$34:$E$52)</f>
        <v>64.47</v>
      </c>
      <c r="N38" s="900">
        <f>_xlfn.XLOOKUP(K38,'Utslippsfaktorer Transport'!$A$27:$A$29,'Utslippsfaktorer Transport'!$F$27:$F$29)</f>
        <v>17.5</v>
      </c>
      <c r="O38" s="901">
        <f>_xlfn.XLOOKUP(L38,'Utslippsfaktorer Transport'!$A$23:$A$25,'Utslippsfaktorer Transport'!$C$23:$C$25)</f>
        <v>0</v>
      </c>
      <c r="T38" s="316"/>
      <c r="AG38" s="373" t="s">
        <v>47</v>
      </c>
      <c r="AH38" s="442">
        <f>E38*F38*_xlfn.XLOOKUP(I38,'Utslippsfaktorer Transport'!$A$9:$A$19,'Utslippsfaktorer Transport'!$B$9:$B$19)*_xlfn.XLOOKUP(J38,'Utslippsfaktorer Transport'!$A$33:$A$52,'Utslippsfaktorer Transport'!$B$33:$B$52)/1000</f>
        <v>0</v>
      </c>
      <c r="AI38" s="442">
        <f>E38*F38*_xlfn.XLOOKUP(I38,'Utslippsfaktorer Transport'!$A$9:$A$19,'Utslippsfaktorer Transport'!$B$9:$B$19)*_xlfn.XLOOKUP(J38,'Utslippsfaktorer Transport'!$A$33:$A$52,'Utslippsfaktorer Transport'!$C$33:$C$52)/1000</f>
        <v>0</v>
      </c>
      <c r="AJ38" s="442">
        <f>E38*F38*_xlfn.XLOOKUP(I38,'Utslippsfaktorer Transport'!$A$9:$A$19,'Utslippsfaktorer Transport'!$B$9:$B$19)*_xlfn.XLOOKUP(J38,'Utslippsfaktorer Transport'!$A$33:$A$52,'Utslippsfaktorer Transport'!$D$33:$D$52)/1000</f>
        <v>0</v>
      </c>
      <c r="AK38" s="904">
        <f>E38*G38*_xlfn.XLOOKUP(K38,'Utslippsfaktorer Transport'!$A$26:$A$29,'Utslippsfaktorer Transport'!$F$26:$F$29)/1000</f>
        <v>0</v>
      </c>
      <c r="AL38" s="904">
        <f>E38*G38*_xlfn.XLOOKUP(K38,'Utslippsfaktorer Transport'!$A$26:$A$29,'Utslippsfaktorer Transport'!$G$26:$G$29)/1000</f>
        <v>0</v>
      </c>
      <c r="AM38" s="904">
        <f>E38*G38*_xlfn.XLOOKUP(K38,'Utslippsfaktorer Transport'!$A$26:$A$29,'Utslippsfaktorer Transport'!$H$26:$H$29)/1000</f>
        <v>0</v>
      </c>
      <c r="AN38" s="442">
        <f>H38*E38*_xlfn.XLOOKUP(L38,'Utslippsfaktorer Transport'!$A$23:$A$25,'Utslippsfaktorer Transport'!$C$23:$C$25)/1000</f>
        <v>0</v>
      </c>
      <c r="AO38" s="442">
        <f>H38*E38*_xlfn.XLOOKUP(L38,'Utslippsfaktorer Transport'!$A$23:$A$25,'Utslippsfaktorer Transport'!$D$23:$D$25)/1000</f>
        <v>0</v>
      </c>
      <c r="AP38" s="902">
        <f>H38*E38*_xlfn.XLOOKUP(L38,'Utslippsfaktorer Transport'!$A$23:$A$25,'Utslippsfaktorer Transport'!$E$23:$E$25)/1000</f>
        <v>0</v>
      </c>
    </row>
    <row r="39" spans="1:42" outlineLevel="1" x14ac:dyDescent="0.3">
      <c r="A39" s="372">
        <v>0</v>
      </c>
      <c r="B39" s="906">
        <f>VLOOKUP(C39,'Vann og Avløp-utslippsfaktorer'!$A$3:$D$82,4,FALSE)</f>
        <v>379</v>
      </c>
      <c r="C39" s="373" t="s">
        <v>48</v>
      </c>
      <c r="D39" s="313"/>
      <c r="E39" s="315">
        <v>0</v>
      </c>
      <c r="F39" s="360">
        <v>100</v>
      </c>
      <c r="G39" s="360">
        <v>0</v>
      </c>
      <c r="H39" s="361">
        <v>0</v>
      </c>
      <c r="I39" s="483" t="s">
        <v>865</v>
      </c>
      <c r="J39" s="360" t="s">
        <v>648</v>
      </c>
      <c r="K39" s="360" t="s">
        <v>871</v>
      </c>
      <c r="L39" s="360" t="s">
        <v>868</v>
      </c>
      <c r="M39" s="473">
        <f>_xlfn.XLOOKUP(I39,'Utslippsfaktorer Transport'!$A$10:$A$19,'Utslippsfaktorer Transport'!$B$10:$B$19)*_xlfn.XLOOKUP(J39,'Utslippsfaktorer Transport'!$A$34:$A$52,'Utslippsfaktorer Transport'!$E$34:$E$52)</f>
        <v>64.47</v>
      </c>
      <c r="N39" s="442">
        <f>_xlfn.XLOOKUP(K39,'Utslippsfaktorer Transport'!$A$27:$A$29,'Utslippsfaktorer Transport'!$F$27:$F$29)</f>
        <v>17.5</v>
      </c>
      <c r="O39" s="902">
        <f>_xlfn.XLOOKUP(L39,'Utslippsfaktorer Transport'!$A$23:$A$25,'Utslippsfaktorer Transport'!$C$23:$C$25)</f>
        <v>0</v>
      </c>
      <c r="T39" s="316"/>
      <c r="AG39" s="373" t="s">
        <v>48</v>
      </c>
      <c r="AH39" s="442">
        <f>E39*F39*_xlfn.XLOOKUP(I39,'Utslippsfaktorer Transport'!$A$9:$A$19,'Utslippsfaktorer Transport'!$B$9:$B$19)*_xlfn.XLOOKUP(J39,'Utslippsfaktorer Transport'!$A$33:$A$52,'Utslippsfaktorer Transport'!$B$33:$B$52)/1000</f>
        <v>0</v>
      </c>
      <c r="AI39" s="442">
        <f>E39*F39*_xlfn.XLOOKUP(I39,'Utslippsfaktorer Transport'!$A$9:$A$19,'Utslippsfaktorer Transport'!$B$9:$B$19)*_xlfn.XLOOKUP(J39,'Utslippsfaktorer Transport'!$A$33:$A$52,'Utslippsfaktorer Transport'!$C$33:$C$52)/1000</f>
        <v>0</v>
      </c>
      <c r="AJ39" s="442">
        <f>E39*F39*_xlfn.XLOOKUP(I39,'Utslippsfaktorer Transport'!$A$9:$A$19,'Utslippsfaktorer Transport'!$B$9:$B$19)*_xlfn.XLOOKUP(J39,'Utslippsfaktorer Transport'!$A$33:$A$52,'Utslippsfaktorer Transport'!$D$33:$D$52)/1000</f>
        <v>0</v>
      </c>
      <c r="AK39" s="904">
        <f>E39*G39*_xlfn.XLOOKUP(K39,'Utslippsfaktorer Transport'!$A$26:$A$29,'Utslippsfaktorer Transport'!$F$26:$F$29)/1000</f>
        <v>0</v>
      </c>
      <c r="AL39" s="904">
        <f>E39*G39*_xlfn.XLOOKUP(K39,'Utslippsfaktorer Transport'!$A$26:$A$29,'Utslippsfaktorer Transport'!$G$26:$G$29)/1000</f>
        <v>0</v>
      </c>
      <c r="AM39" s="904">
        <f>E39*G39*_xlfn.XLOOKUP(K39,'Utslippsfaktorer Transport'!$A$26:$A$29,'Utslippsfaktorer Transport'!$H$26:$H$29)/1000</f>
        <v>0</v>
      </c>
      <c r="AN39" s="442">
        <f>H39*E39*_xlfn.XLOOKUP(L39,'Utslippsfaktorer Transport'!$A$23:$A$25,'Utslippsfaktorer Transport'!$C$23:$C$25)/1000</f>
        <v>0</v>
      </c>
      <c r="AO39" s="442">
        <f>H39*E39*_xlfn.XLOOKUP(L39,'Utslippsfaktorer Transport'!$A$23:$A$25,'Utslippsfaktorer Transport'!$D$23:$D$25)/1000</f>
        <v>0</v>
      </c>
      <c r="AP39" s="902">
        <f>H39*E39*_xlfn.XLOOKUP(L39,'Utslippsfaktorer Transport'!$A$23:$A$25,'Utslippsfaktorer Transport'!$E$23:$E$25)/1000</f>
        <v>0</v>
      </c>
    </row>
    <row r="40" spans="1:42" outlineLevel="1" x14ac:dyDescent="0.3">
      <c r="A40" s="372">
        <v>0</v>
      </c>
      <c r="B40" s="906">
        <f>VLOOKUP(C40,'Vann og Avløp-utslippsfaktorer'!$A$3:$D$82,4,FALSE)</f>
        <v>470</v>
      </c>
      <c r="C40" s="373" t="s">
        <v>49</v>
      </c>
      <c r="D40" s="313"/>
      <c r="E40" s="315">
        <v>0</v>
      </c>
      <c r="F40" s="360">
        <v>100</v>
      </c>
      <c r="G40" s="360">
        <v>0</v>
      </c>
      <c r="H40" s="361">
        <v>0</v>
      </c>
      <c r="I40" s="483" t="s">
        <v>865</v>
      </c>
      <c r="J40" s="360" t="s">
        <v>648</v>
      </c>
      <c r="K40" s="360" t="s">
        <v>871</v>
      </c>
      <c r="L40" s="360" t="s">
        <v>868</v>
      </c>
      <c r="M40" s="473">
        <f>_xlfn.XLOOKUP(I40,'Utslippsfaktorer Transport'!$A$10:$A$19,'Utslippsfaktorer Transport'!$B$10:$B$19)*_xlfn.XLOOKUP(J40,'Utslippsfaktorer Transport'!$A$34:$A$52,'Utslippsfaktorer Transport'!$E$34:$E$52)</f>
        <v>64.47</v>
      </c>
      <c r="N40" s="442">
        <f>_xlfn.XLOOKUP(K40,'Utslippsfaktorer Transport'!$A$27:$A$29,'Utslippsfaktorer Transport'!$F$27:$F$29)</f>
        <v>17.5</v>
      </c>
      <c r="O40" s="902">
        <f>_xlfn.XLOOKUP(L40,'Utslippsfaktorer Transport'!$A$23:$A$25,'Utslippsfaktorer Transport'!$C$23:$C$25)</f>
        <v>0</v>
      </c>
      <c r="T40" s="316"/>
      <c r="AG40" s="373" t="s">
        <v>49</v>
      </c>
      <c r="AH40" s="442">
        <f>E40*F40*_xlfn.XLOOKUP(I40,'Utslippsfaktorer Transport'!$A$9:$A$19,'Utslippsfaktorer Transport'!$B$9:$B$19)*_xlfn.XLOOKUP(J40,'Utslippsfaktorer Transport'!$A$33:$A$52,'Utslippsfaktorer Transport'!$B$33:$B$52)/1000</f>
        <v>0</v>
      </c>
      <c r="AI40" s="442">
        <f>E40*F40*_xlfn.XLOOKUP(I40,'Utslippsfaktorer Transport'!$A$9:$A$19,'Utslippsfaktorer Transport'!$B$9:$B$19)*_xlfn.XLOOKUP(J40,'Utslippsfaktorer Transport'!$A$33:$A$52,'Utslippsfaktorer Transport'!$C$33:$C$52)/1000</f>
        <v>0</v>
      </c>
      <c r="AJ40" s="442">
        <f>E40*F40*_xlfn.XLOOKUP(I40,'Utslippsfaktorer Transport'!$A$9:$A$19,'Utslippsfaktorer Transport'!$B$9:$B$19)*_xlfn.XLOOKUP(J40,'Utslippsfaktorer Transport'!$A$33:$A$52,'Utslippsfaktorer Transport'!$D$33:$D$52)/1000</f>
        <v>0</v>
      </c>
      <c r="AK40" s="904">
        <f>E40*G40*_xlfn.XLOOKUP(K40,'Utslippsfaktorer Transport'!$A$26:$A$29,'Utslippsfaktorer Transport'!$F$26:$F$29)/1000</f>
        <v>0</v>
      </c>
      <c r="AL40" s="904">
        <f>E40*G40*_xlfn.XLOOKUP(K40,'Utslippsfaktorer Transport'!$A$26:$A$29,'Utslippsfaktorer Transport'!$G$26:$G$29)/1000</f>
        <v>0</v>
      </c>
      <c r="AM40" s="904">
        <f>E40*G40*_xlfn.XLOOKUP(K40,'Utslippsfaktorer Transport'!$A$26:$A$29,'Utslippsfaktorer Transport'!$H$26:$H$29)/1000</f>
        <v>0</v>
      </c>
      <c r="AN40" s="442">
        <f>H40*E40*_xlfn.XLOOKUP(L40,'Utslippsfaktorer Transport'!$A$23:$A$25,'Utslippsfaktorer Transport'!$C$23:$C$25)/1000</f>
        <v>0</v>
      </c>
      <c r="AO40" s="442">
        <f>H40*E40*_xlfn.XLOOKUP(L40,'Utslippsfaktorer Transport'!$A$23:$A$25,'Utslippsfaktorer Transport'!$D$23:$D$25)/1000</f>
        <v>0</v>
      </c>
      <c r="AP40" s="902">
        <f>H40*E40*_xlfn.XLOOKUP(L40,'Utslippsfaktorer Transport'!$A$23:$A$25,'Utslippsfaktorer Transport'!$E$23:$E$25)/1000</f>
        <v>0</v>
      </c>
    </row>
    <row r="41" spans="1:42" outlineLevel="1" x14ac:dyDescent="0.3">
      <c r="A41" s="676">
        <v>0</v>
      </c>
      <c r="B41" s="906">
        <f>VLOOKUP(C41,'Vann og Avløp-utslippsfaktorer'!$A$3:$D$82,4,FALSE)</f>
        <v>110</v>
      </c>
      <c r="C41" s="373" t="s">
        <v>50</v>
      </c>
      <c r="D41" s="313"/>
      <c r="E41" s="519">
        <v>0</v>
      </c>
      <c r="F41" s="360">
        <v>100</v>
      </c>
      <c r="G41" s="360">
        <v>0</v>
      </c>
      <c r="H41" s="361">
        <v>0</v>
      </c>
      <c r="I41" s="672" t="s">
        <v>865</v>
      </c>
      <c r="J41" s="519" t="s">
        <v>648</v>
      </c>
      <c r="K41" s="519" t="s">
        <v>871</v>
      </c>
      <c r="L41" s="519" t="s">
        <v>868</v>
      </c>
      <c r="M41" s="921">
        <f>_xlfn.XLOOKUP(I41,'Utslippsfaktorer Transport'!$A$10:$A$19,'Utslippsfaktorer Transport'!$B$10:$B$19)*_xlfn.XLOOKUP(J41,'Utslippsfaktorer Transport'!$A$34:$A$52,'Utslippsfaktorer Transport'!$E$34:$E$52)</f>
        <v>64.47</v>
      </c>
      <c r="N41" s="911">
        <f>_xlfn.XLOOKUP(K41,'Utslippsfaktorer Transport'!$A$27:$A$29,'Utslippsfaktorer Transport'!$F$27:$F$29)</f>
        <v>17.5</v>
      </c>
      <c r="O41" s="912">
        <f>_xlfn.XLOOKUP(L41,'Utslippsfaktorer Transport'!$A$23:$A$25,'Utslippsfaktorer Transport'!$C$23:$C$25)</f>
        <v>0</v>
      </c>
      <c r="T41" s="316"/>
      <c r="AG41" s="518" t="s">
        <v>50</v>
      </c>
      <c r="AH41" s="911">
        <f>E41*F41*_xlfn.XLOOKUP(I41,'Utslippsfaktorer Transport'!$A$9:$A$19,'Utslippsfaktorer Transport'!$B$9:$B$19)*_xlfn.XLOOKUP(J41,'Utslippsfaktorer Transport'!$A$33:$A$52,'Utslippsfaktorer Transport'!$B$33:$B$52)/1000</f>
        <v>0</v>
      </c>
      <c r="AI41" s="911">
        <f>E41*F41*_xlfn.XLOOKUP(I41,'Utslippsfaktorer Transport'!$A$9:$A$19,'Utslippsfaktorer Transport'!$B$9:$B$19)*_xlfn.XLOOKUP(J41,'Utslippsfaktorer Transport'!$A$33:$A$52,'Utslippsfaktorer Transport'!$C$33:$C$52)/1000</f>
        <v>0</v>
      </c>
      <c r="AJ41" s="911">
        <f>E41*F41*_xlfn.XLOOKUP(I41,'Utslippsfaktorer Transport'!$A$9:$A$19,'Utslippsfaktorer Transport'!$B$9:$B$19)*_xlfn.XLOOKUP(J41,'Utslippsfaktorer Transport'!$A$33:$A$52,'Utslippsfaktorer Transport'!$D$33:$D$52)/1000</f>
        <v>0</v>
      </c>
      <c r="AK41" s="920">
        <f>E41*G41*_xlfn.XLOOKUP(K41,'Utslippsfaktorer Transport'!$A$26:$A$29,'Utslippsfaktorer Transport'!$F$26:$F$29)/1000</f>
        <v>0</v>
      </c>
      <c r="AL41" s="920">
        <f>E41*G41*_xlfn.XLOOKUP(K41,'Utslippsfaktorer Transport'!$A$26:$A$29,'Utslippsfaktorer Transport'!$G$26:$G$29)/1000</f>
        <v>0</v>
      </c>
      <c r="AM41" s="920">
        <f>E41*G41*_xlfn.XLOOKUP(K41,'Utslippsfaktorer Transport'!$A$26:$A$29,'Utslippsfaktorer Transport'!$H$26:$H$29)/1000</f>
        <v>0</v>
      </c>
      <c r="AN41" s="911">
        <f>H41*E41*_xlfn.XLOOKUP(L41,'Utslippsfaktorer Transport'!$A$23:$A$25,'Utslippsfaktorer Transport'!$C$23:$C$25)/1000</f>
        <v>0</v>
      </c>
      <c r="AO41" s="911">
        <f>H41*E41*_xlfn.XLOOKUP(L41,'Utslippsfaktorer Transport'!$A$23:$A$25,'Utslippsfaktorer Transport'!$D$23:$D$25)/1000</f>
        <v>0</v>
      </c>
      <c r="AP41" s="912">
        <f>H41*E41*_xlfn.XLOOKUP(L41,'Utslippsfaktorer Transport'!$A$23:$A$25,'Utslippsfaktorer Transport'!$E$23:$E$25)/1000</f>
        <v>0</v>
      </c>
    </row>
    <row r="42" spans="1:42" outlineLevel="1" x14ac:dyDescent="0.3">
      <c r="A42" s="405"/>
      <c r="B42" s="674"/>
      <c r="C42" s="680" t="s">
        <v>502</v>
      </c>
      <c r="D42" s="675"/>
      <c r="E42" s="664"/>
      <c r="F42" s="528"/>
      <c r="G42" s="528"/>
      <c r="H42" s="665"/>
      <c r="I42" s="373"/>
      <c r="J42" s="313"/>
      <c r="K42" s="313"/>
      <c r="L42" s="313"/>
      <c r="M42" s="313"/>
      <c r="N42" s="313"/>
      <c r="O42" s="316"/>
      <c r="T42" s="316"/>
      <c r="AG42" s="432" t="s">
        <v>502</v>
      </c>
      <c r="AH42" s="313"/>
      <c r="AI42" s="313"/>
      <c r="AJ42" s="313"/>
      <c r="AK42" s="657"/>
      <c r="AL42" s="657"/>
      <c r="AM42" s="657"/>
      <c r="AN42" s="313"/>
      <c r="AO42" s="313"/>
      <c r="AP42" s="316"/>
    </row>
    <row r="43" spans="1:42" outlineLevel="1" x14ac:dyDescent="0.3">
      <c r="A43" s="372">
        <v>0</v>
      </c>
      <c r="B43" s="906">
        <f>VLOOKUP(C43,'Vann og Avløp-utslippsfaktorer'!$A$3:$D$82,4,FALSE)</f>
        <v>2790</v>
      </c>
      <c r="C43" s="373" t="s">
        <v>503</v>
      </c>
      <c r="D43" s="313"/>
      <c r="E43" s="484">
        <v>0</v>
      </c>
      <c r="F43" s="360">
        <v>100</v>
      </c>
      <c r="G43" s="360">
        <v>0</v>
      </c>
      <c r="H43" s="361">
        <v>0</v>
      </c>
      <c r="I43" s="682" t="s">
        <v>865</v>
      </c>
      <c r="J43" s="484" t="s">
        <v>648</v>
      </c>
      <c r="K43" s="484" t="s">
        <v>871</v>
      </c>
      <c r="L43" s="484" t="s">
        <v>868</v>
      </c>
      <c r="M43" s="899">
        <f>_xlfn.XLOOKUP(I43,'Utslippsfaktorer Transport'!$A$10:$A$19,'Utslippsfaktorer Transport'!$B$10:$B$19)*_xlfn.XLOOKUP(J43,'Utslippsfaktorer Transport'!$A$34:$A$52,'Utslippsfaktorer Transport'!$E$34:$E$52)</f>
        <v>64.47</v>
      </c>
      <c r="N43" s="900">
        <f>_xlfn.XLOOKUP(K43,'Utslippsfaktorer Transport'!$A$27:$A$29,'Utslippsfaktorer Transport'!$F$27:$F$29)</f>
        <v>17.5</v>
      </c>
      <c r="O43" s="901">
        <f>_xlfn.XLOOKUP(L43,'Utslippsfaktorer Transport'!$A$23:$A$25,'Utslippsfaktorer Transport'!$C$23:$C$25)</f>
        <v>0</v>
      </c>
      <c r="T43" s="316"/>
      <c r="AG43" s="373" t="s">
        <v>503</v>
      </c>
      <c r="AH43" s="442">
        <f>E43*F43*_xlfn.XLOOKUP(I43,'Utslippsfaktorer Transport'!$A$9:$A$19,'Utslippsfaktorer Transport'!$B$9:$B$19)*_xlfn.XLOOKUP(J43,'Utslippsfaktorer Transport'!$A$33:$A$52,'Utslippsfaktorer Transport'!$B$33:$B$52)/1000</f>
        <v>0</v>
      </c>
      <c r="AI43" s="442">
        <f>E43*F43*_xlfn.XLOOKUP(I43,'Utslippsfaktorer Transport'!$A$9:$A$19,'Utslippsfaktorer Transport'!$B$9:$B$19)*_xlfn.XLOOKUP(J43,'Utslippsfaktorer Transport'!$A$33:$A$52,'Utslippsfaktorer Transport'!$C$33:$C$52)/1000</f>
        <v>0</v>
      </c>
      <c r="AJ43" s="442">
        <f>E43*F43*_xlfn.XLOOKUP(I43,'Utslippsfaktorer Transport'!$A$9:$A$19,'Utslippsfaktorer Transport'!$B$9:$B$19)*_xlfn.XLOOKUP(J43,'Utslippsfaktorer Transport'!$A$33:$A$52,'Utslippsfaktorer Transport'!$D$33:$D$52)/1000</f>
        <v>0</v>
      </c>
      <c r="AK43" s="904">
        <f>E43*G43*_xlfn.XLOOKUP(K43,'Utslippsfaktorer Transport'!$A$26:$A$29,'Utslippsfaktorer Transport'!$F$26:$F$29)/1000</f>
        <v>0</v>
      </c>
      <c r="AL43" s="904">
        <f>E43*G43*_xlfn.XLOOKUP(K43,'Utslippsfaktorer Transport'!$A$26:$A$29,'Utslippsfaktorer Transport'!$G$26:$G$29)/1000</f>
        <v>0</v>
      </c>
      <c r="AM43" s="904">
        <f>E43*G43*_xlfn.XLOOKUP(K43,'Utslippsfaktorer Transport'!$A$26:$A$29,'Utslippsfaktorer Transport'!$H$26:$H$29)/1000</f>
        <v>0</v>
      </c>
      <c r="AN43" s="442">
        <f>H43*E43*_xlfn.XLOOKUP(L43,'Utslippsfaktorer Transport'!$A$23:$A$25,'Utslippsfaktorer Transport'!$C$23:$C$25)/1000</f>
        <v>0</v>
      </c>
      <c r="AO43" s="442">
        <f>H43*E43*_xlfn.XLOOKUP(L43,'Utslippsfaktorer Transport'!$A$23:$A$25,'Utslippsfaktorer Transport'!$D$23:$D$25)/1000</f>
        <v>0</v>
      </c>
      <c r="AP43" s="902">
        <f>H43*E43*_xlfn.XLOOKUP(L43,'Utslippsfaktorer Transport'!$A$23:$A$25,'Utslippsfaktorer Transport'!$E$23:$E$25)/1000</f>
        <v>0</v>
      </c>
    </row>
    <row r="44" spans="1:42" ht="15" outlineLevel="1" thickBot="1" x14ac:dyDescent="0.35">
      <c r="A44" s="375">
        <v>0</v>
      </c>
      <c r="B44" s="907">
        <f>VLOOKUP(C44,'Vann og Avløp-utslippsfaktorer'!$A$3:$D$82,4,FALSE)</f>
        <v>2560</v>
      </c>
      <c r="C44" s="376" t="s">
        <v>602</v>
      </c>
      <c r="D44" s="318"/>
      <c r="E44" s="319">
        <v>0</v>
      </c>
      <c r="F44" s="329">
        <v>100</v>
      </c>
      <c r="G44" s="329">
        <v>0</v>
      </c>
      <c r="H44" s="369">
        <v>0</v>
      </c>
      <c r="I44" s="672" t="s">
        <v>865</v>
      </c>
      <c r="J44" s="519" t="s">
        <v>648</v>
      </c>
      <c r="K44" s="519" t="s">
        <v>871</v>
      </c>
      <c r="L44" s="519" t="s">
        <v>868</v>
      </c>
      <c r="M44" s="921">
        <f>_xlfn.XLOOKUP(I44,'Utslippsfaktorer Transport'!$A$10:$A$19,'Utslippsfaktorer Transport'!$B$10:$B$19)*_xlfn.XLOOKUP(J44,'Utslippsfaktorer Transport'!$A$34:$A$52,'Utslippsfaktorer Transport'!$E$34:$E$52)</f>
        <v>64.47</v>
      </c>
      <c r="N44" s="911">
        <f>_xlfn.XLOOKUP(K44,'Utslippsfaktorer Transport'!$A$27:$A$29,'Utslippsfaktorer Transport'!$F$27:$F$29)</f>
        <v>17.5</v>
      </c>
      <c r="O44" s="912">
        <f>_xlfn.XLOOKUP(L44,'Utslippsfaktorer Transport'!$A$23:$A$25,'Utslippsfaktorer Transport'!$C$23:$C$25)</f>
        <v>0</v>
      </c>
      <c r="P44" s="318"/>
      <c r="Q44" s="318"/>
      <c r="R44" s="318"/>
      <c r="S44" s="318"/>
      <c r="T44" s="320"/>
      <c r="AG44" s="376" t="s">
        <v>602</v>
      </c>
      <c r="AH44" s="441">
        <f>E44*F44*_xlfn.XLOOKUP(I44,'Utslippsfaktorer Transport'!$A$9:$A$19,'Utslippsfaktorer Transport'!$B$9:$B$19)*_xlfn.XLOOKUP(J44,'Utslippsfaktorer Transport'!$A$33:$A$52,'Utslippsfaktorer Transport'!$B$33:$B$52)/1000</f>
        <v>0</v>
      </c>
      <c r="AI44" s="441">
        <f>E44*F44*_xlfn.XLOOKUP(I44,'Utslippsfaktorer Transport'!$A$9:$A$19,'Utslippsfaktorer Transport'!$B$9:$B$19)*_xlfn.XLOOKUP(J44,'Utslippsfaktorer Transport'!$A$33:$A$52,'Utslippsfaktorer Transport'!$C$33:$C$52)/1000</f>
        <v>0</v>
      </c>
      <c r="AJ44" s="441">
        <f>E44*F44*_xlfn.XLOOKUP(I44,'Utslippsfaktorer Transport'!$A$9:$A$19,'Utslippsfaktorer Transport'!$B$9:$B$19)*_xlfn.XLOOKUP(J44,'Utslippsfaktorer Transport'!$A$33:$A$52,'Utslippsfaktorer Transport'!$D$33:$D$52)/1000</f>
        <v>0</v>
      </c>
      <c r="AK44" s="905">
        <f>E44*G44*_xlfn.XLOOKUP(K44,'Utslippsfaktorer Transport'!$A$26:$A$29,'Utslippsfaktorer Transport'!$F$26:$F$29)/1000</f>
        <v>0</v>
      </c>
      <c r="AL44" s="905">
        <f>E44*G44*_xlfn.XLOOKUP(K44,'Utslippsfaktorer Transport'!$A$26:$A$29,'Utslippsfaktorer Transport'!$G$26:$G$29)/1000</f>
        <v>0</v>
      </c>
      <c r="AM44" s="905">
        <f>E44*G44*_xlfn.XLOOKUP(K44,'Utslippsfaktorer Transport'!$A$26:$A$29,'Utslippsfaktorer Transport'!$H$26:$H$29)/1000</f>
        <v>0</v>
      </c>
      <c r="AN44" s="441">
        <f>H44*E44*_xlfn.XLOOKUP(L44,'Utslippsfaktorer Transport'!$A$23:$A$25,'Utslippsfaktorer Transport'!$C$23:$C$25)/1000</f>
        <v>0</v>
      </c>
      <c r="AO44" s="441">
        <f>H44*E44*_xlfn.XLOOKUP(L44,'Utslippsfaktorer Transport'!$A$23:$A$25,'Utslippsfaktorer Transport'!$D$23:$D$25)/1000</f>
        <v>0</v>
      </c>
      <c r="AP44" s="903">
        <f>H44*E44*_xlfn.XLOOKUP(L44,'Utslippsfaktorer Transport'!$A$23:$A$25,'Utslippsfaktorer Transport'!$E$23:$E$25)/1000</f>
        <v>0</v>
      </c>
    </row>
    <row r="45" spans="1:42" ht="15" thickBot="1" x14ac:dyDescent="0.35">
      <c r="AK45" s="660"/>
      <c r="AL45" s="660"/>
      <c r="AM45" s="660"/>
    </row>
    <row r="46" spans="1:42" ht="15.6" outlineLevel="1" x14ac:dyDescent="0.3">
      <c r="A46" s="471" t="s">
        <v>777</v>
      </c>
      <c r="B46" s="683" t="s">
        <v>330</v>
      </c>
      <c r="C46" s="654" t="s">
        <v>316</v>
      </c>
      <c r="D46" s="684"/>
      <c r="E46" s="656" t="s">
        <v>321</v>
      </c>
      <c r="F46" s="656" t="s">
        <v>669</v>
      </c>
      <c r="G46" s="656" t="s">
        <v>667</v>
      </c>
      <c r="H46" s="419" t="s">
        <v>670</v>
      </c>
      <c r="I46" s="378" t="s">
        <v>891</v>
      </c>
      <c r="J46" s="307" t="s">
        <v>892</v>
      </c>
      <c r="K46" s="307" t="s">
        <v>893</v>
      </c>
      <c r="L46" s="307" t="s">
        <v>890</v>
      </c>
      <c r="M46" s="307" t="s">
        <v>894</v>
      </c>
      <c r="N46" s="307" t="s">
        <v>895</v>
      </c>
      <c r="O46" s="419" t="s">
        <v>901</v>
      </c>
      <c r="P46" s="381"/>
      <c r="Q46" s="458"/>
      <c r="R46" s="458"/>
      <c r="S46" s="458"/>
      <c r="T46" s="459"/>
      <c r="AG46" s="654" t="s">
        <v>316</v>
      </c>
      <c r="AH46" s="307"/>
      <c r="AI46" s="307"/>
      <c r="AJ46" s="307"/>
      <c r="AK46" s="661"/>
      <c r="AL46" s="661"/>
      <c r="AM46" s="661"/>
      <c r="AN46" s="307"/>
      <c r="AO46" s="307"/>
      <c r="AP46" s="419"/>
    </row>
    <row r="47" spans="1:42" outlineLevel="1" x14ac:dyDescent="0.3">
      <c r="A47" s="338">
        <v>0</v>
      </c>
      <c r="B47" s="922">
        <f>VLOOKUP(C47,'Vann og Avløp-utslippsfaktorer'!$A$3:$D$82,4,FALSE)</f>
        <v>669</v>
      </c>
      <c r="C47" s="373" t="s">
        <v>317</v>
      </c>
      <c r="D47" s="313"/>
      <c r="E47" s="315">
        <v>0</v>
      </c>
      <c r="F47" s="339">
        <v>100</v>
      </c>
      <c r="G47" s="315">
        <v>0</v>
      </c>
      <c r="H47" s="340">
        <v>0</v>
      </c>
      <c r="I47" s="483" t="s">
        <v>865</v>
      </c>
      <c r="J47" s="360" t="s">
        <v>648</v>
      </c>
      <c r="K47" s="360" t="s">
        <v>871</v>
      </c>
      <c r="L47" s="360" t="s">
        <v>868</v>
      </c>
      <c r="M47" s="473">
        <f>_xlfn.XLOOKUP(I47,'Utslippsfaktorer Transport'!$A$10:$A$19,'Utslippsfaktorer Transport'!$B$10:$B$19)*_xlfn.XLOOKUP(J47,'Utslippsfaktorer Transport'!$A$34:$A$52,'Utslippsfaktorer Transport'!$E$34:$E$52)</f>
        <v>64.47</v>
      </c>
      <c r="N47" s="442">
        <f>_xlfn.XLOOKUP(K47,'Utslippsfaktorer Transport'!$A$27:$A$29,'Utslippsfaktorer Transport'!$F$27:$F$29)</f>
        <v>17.5</v>
      </c>
      <c r="O47" s="902">
        <f>_xlfn.XLOOKUP(L47,'Utslippsfaktorer Transport'!$A$23:$A$25,'Utslippsfaktorer Transport'!$C$23:$C$25)</f>
        <v>0</v>
      </c>
      <c r="P47" s="373"/>
      <c r="Q47" s="313"/>
      <c r="R47" s="313"/>
      <c r="S47" s="313"/>
      <c r="T47" s="316"/>
      <c r="AG47" s="373" t="s">
        <v>317</v>
      </c>
      <c r="AH47" s="442">
        <f>E47*F47*_xlfn.XLOOKUP(I47,'Utslippsfaktorer Transport'!$A$9:$A$19,'Utslippsfaktorer Transport'!$B$9:$B$19)*_xlfn.XLOOKUP(J47,'Utslippsfaktorer Transport'!$A$33:$A$52,'Utslippsfaktorer Transport'!$B$33:$B$52)/1000</f>
        <v>0</v>
      </c>
      <c r="AI47" s="442">
        <f>E47*F47*_xlfn.XLOOKUP(I47,'Utslippsfaktorer Transport'!$A$9:$A$19,'Utslippsfaktorer Transport'!$B$9:$B$19)*_xlfn.XLOOKUP(J47,'Utslippsfaktorer Transport'!$A$33:$A$52,'Utslippsfaktorer Transport'!$C$33:$C$52)/1000</f>
        <v>0</v>
      </c>
      <c r="AJ47" s="442">
        <f>E47*F47*_xlfn.XLOOKUP(I47,'Utslippsfaktorer Transport'!$A$9:$A$19,'Utslippsfaktorer Transport'!$B$9:$B$19)*_xlfn.XLOOKUP(J47,'Utslippsfaktorer Transport'!$A$33:$A$52,'Utslippsfaktorer Transport'!$D$33:$D$52)/1000</f>
        <v>0</v>
      </c>
      <c r="AK47" s="904">
        <f>E47*G47*_xlfn.XLOOKUP(K47,'Utslippsfaktorer Transport'!$A$26:$A$29,'Utslippsfaktorer Transport'!$F$26:$F$29)/1000</f>
        <v>0</v>
      </c>
      <c r="AL47" s="904">
        <f>E47*G47*_xlfn.XLOOKUP(K47,'Utslippsfaktorer Transport'!$A$26:$A$29,'Utslippsfaktorer Transport'!$G$26:$G$29)/1000</f>
        <v>0</v>
      </c>
      <c r="AM47" s="904">
        <f>E47*G47*_xlfn.XLOOKUP(K47,'Utslippsfaktorer Transport'!$A$26:$A$29,'Utslippsfaktorer Transport'!$H$26:$H$29)/1000</f>
        <v>0</v>
      </c>
      <c r="AN47" s="442">
        <f>H47*E47*_xlfn.XLOOKUP(L47,'Utslippsfaktorer Transport'!$A$23:$A$25,'Utslippsfaktorer Transport'!$C$23:$C$25)/1000</f>
        <v>0</v>
      </c>
      <c r="AO47" s="442">
        <f>H47*E47*_xlfn.XLOOKUP(L47,'Utslippsfaktorer Transport'!$A$23:$A$25,'Utslippsfaktorer Transport'!$D$23:$D$25)/1000</f>
        <v>0</v>
      </c>
      <c r="AP47" s="902">
        <f>H47*E47*_xlfn.XLOOKUP(L47,'Utslippsfaktorer Transport'!$A$23:$A$25,'Utslippsfaktorer Transport'!$E$23:$E$25)/1000</f>
        <v>0</v>
      </c>
    </row>
    <row r="48" spans="1:42" outlineLevel="1" x14ac:dyDescent="0.3">
      <c r="A48" s="338">
        <v>0</v>
      </c>
      <c r="B48" s="906">
        <f>VLOOKUP(C48,'Vann og Avløp-utslippsfaktorer'!$A$3:$D$82,4,FALSE)</f>
        <v>1250</v>
      </c>
      <c r="C48" s="373" t="s">
        <v>318</v>
      </c>
      <c r="D48" s="313"/>
      <c r="E48" s="315">
        <v>0</v>
      </c>
      <c r="F48" s="315">
        <v>100</v>
      </c>
      <c r="G48" s="315">
        <v>0</v>
      </c>
      <c r="H48" s="340">
        <v>0</v>
      </c>
      <c r="I48" s="483" t="s">
        <v>865</v>
      </c>
      <c r="J48" s="360" t="s">
        <v>648</v>
      </c>
      <c r="K48" s="360" t="s">
        <v>871</v>
      </c>
      <c r="L48" s="360" t="s">
        <v>868</v>
      </c>
      <c r="M48" s="473">
        <f>_xlfn.XLOOKUP(I48,'Utslippsfaktorer Transport'!$A$10:$A$19,'Utslippsfaktorer Transport'!$B$10:$B$19)*_xlfn.XLOOKUP(J48,'Utslippsfaktorer Transport'!$A$34:$A$52,'Utslippsfaktorer Transport'!$E$34:$E$52)</f>
        <v>64.47</v>
      </c>
      <c r="N48" s="442">
        <f>_xlfn.XLOOKUP(K48,'Utslippsfaktorer Transport'!$A$27:$A$29,'Utslippsfaktorer Transport'!$F$27:$F$29)</f>
        <v>17.5</v>
      </c>
      <c r="O48" s="902">
        <f>_xlfn.XLOOKUP(L48,'Utslippsfaktorer Transport'!$A$23:$A$25,'Utslippsfaktorer Transport'!$C$23:$C$25)</f>
        <v>0</v>
      </c>
      <c r="P48" s="373"/>
      <c r="Q48" s="313"/>
      <c r="R48" s="313"/>
      <c r="S48" s="313"/>
      <c r="T48" s="316"/>
      <c r="AG48" s="373" t="s">
        <v>318</v>
      </c>
      <c r="AH48" s="442">
        <f>E48*F48*_xlfn.XLOOKUP(I48,'Utslippsfaktorer Transport'!$A$9:$A$19,'Utslippsfaktorer Transport'!$B$9:$B$19)*_xlfn.XLOOKUP(J48,'Utslippsfaktorer Transport'!$A$33:$A$52,'Utslippsfaktorer Transport'!$B$33:$B$52)/1000</f>
        <v>0</v>
      </c>
      <c r="AI48" s="442">
        <f>E48*F48*_xlfn.XLOOKUP(I48,'Utslippsfaktorer Transport'!$A$9:$A$19,'Utslippsfaktorer Transport'!$B$9:$B$19)*_xlfn.XLOOKUP(J48,'Utslippsfaktorer Transport'!$A$33:$A$52,'Utslippsfaktorer Transport'!$C$33:$C$52)/1000</f>
        <v>0</v>
      </c>
      <c r="AJ48" s="442">
        <f>E48*F48*_xlfn.XLOOKUP(I48,'Utslippsfaktorer Transport'!$A$9:$A$19,'Utslippsfaktorer Transport'!$B$9:$B$19)*_xlfn.XLOOKUP(J48,'Utslippsfaktorer Transport'!$A$33:$A$52,'Utslippsfaktorer Transport'!$D$33:$D$52)/1000</f>
        <v>0</v>
      </c>
      <c r="AK48" s="904">
        <f>E48*G48*_xlfn.XLOOKUP(K48,'Utslippsfaktorer Transport'!$A$26:$A$29,'Utslippsfaktorer Transport'!$F$26:$F$29)/1000</f>
        <v>0</v>
      </c>
      <c r="AL48" s="904">
        <f>E48*G48*_xlfn.XLOOKUP(K48,'Utslippsfaktorer Transport'!$A$26:$A$29,'Utslippsfaktorer Transport'!$G$26:$G$29)/1000</f>
        <v>0</v>
      </c>
      <c r="AM48" s="904">
        <f>E48*G48*_xlfn.XLOOKUP(K48,'Utslippsfaktorer Transport'!$A$26:$A$29,'Utslippsfaktorer Transport'!$H$26:$H$29)/1000</f>
        <v>0</v>
      </c>
      <c r="AN48" s="442">
        <f>H48*E48*_xlfn.XLOOKUP(L48,'Utslippsfaktorer Transport'!$A$23:$A$25,'Utslippsfaktorer Transport'!$C$23:$C$25)/1000</f>
        <v>0</v>
      </c>
      <c r="AO48" s="442">
        <f>H48*E48*_xlfn.XLOOKUP(L48,'Utslippsfaktorer Transport'!$A$23:$A$25,'Utslippsfaktorer Transport'!$D$23:$D$25)/1000</f>
        <v>0</v>
      </c>
      <c r="AP48" s="902">
        <f>H48*E48*_xlfn.XLOOKUP(L48,'Utslippsfaktorer Transport'!$A$23:$A$25,'Utslippsfaktorer Transport'!$E$23:$E$25)/1000</f>
        <v>0</v>
      </c>
    </row>
    <row r="49" spans="1:42" outlineLevel="1" x14ac:dyDescent="0.3">
      <c r="A49" s="338">
        <v>0</v>
      </c>
      <c r="B49" s="906">
        <f>VLOOKUP(C49,'Vann og Avløp-utslippsfaktorer'!$A$3:$D$82,4,FALSE)</f>
        <v>2146</v>
      </c>
      <c r="C49" s="373" t="s">
        <v>319</v>
      </c>
      <c r="D49" s="313"/>
      <c r="E49" s="315">
        <v>0</v>
      </c>
      <c r="F49" s="315">
        <v>100</v>
      </c>
      <c r="G49" s="315">
        <v>0</v>
      </c>
      <c r="H49" s="340">
        <v>0</v>
      </c>
      <c r="I49" s="483" t="s">
        <v>865</v>
      </c>
      <c r="J49" s="360" t="s">
        <v>648</v>
      </c>
      <c r="K49" s="360" t="s">
        <v>871</v>
      </c>
      <c r="L49" s="360" t="s">
        <v>868</v>
      </c>
      <c r="M49" s="473">
        <f>_xlfn.XLOOKUP(I49,'Utslippsfaktorer Transport'!$A$10:$A$19,'Utslippsfaktorer Transport'!$B$10:$B$19)*_xlfn.XLOOKUP(J49,'Utslippsfaktorer Transport'!$A$34:$A$52,'Utslippsfaktorer Transport'!$E$34:$E$52)</f>
        <v>64.47</v>
      </c>
      <c r="N49" s="442">
        <f>_xlfn.XLOOKUP(K49,'Utslippsfaktorer Transport'!$A$27:$A$29,'Utslippsfaktorer Transport'!$F$27:$F$29)</f>
        <v>17.5</v>
      </c>
      <c r="O49" s="902">
        <f>_xlfn.XLOOKUP(L49,'Utslippsfaktorer Transport'!$A$23:$A$25,'Utslippsfaktorer Transport'!$C$23:$C$25)</f>
        <v>0</v>
      </c>
      <c r="P49" s="373"/>
      <c r="Q49" s="313"/>
      <c r="R49" s="313"/>
      <c r="S49" s="313"/>
      <c r="T49" s="316"/>
      <c r="AG49" s="373" t="s">
        <v>319</v>
      </c>
      <c r="AH49" s="442">
        <f>E49*F49*_xlfn.XLOOKUP(I49,'Utslippsfaktorer Transport'!$A$9:$A$19,'Utslippsfaktorer Transport'!$B$9:$B$19)*_xlfn.XLOOKUP(J49,'Utslippsfaktorer Transport'!$A$33:$A$52,'Utslippsfaktorer Transport'!$B$33:$B$52)/1000</f>
        <v>0</v>
      </c>
      <c r="AI49" s="442">
        <f>E49*F49*_xlfn.XLOOKUP(I49,'Utslippsfaktorer Transport'!$A$9:$A$19,'Utslippsfaktorer Transport'!$B$9:$B$19)*_xlfn.XLOOKUP(J49,'Utslippsfaktorer Transport'!$A$33:$A$52,'Utslippsfaktorer Transport'!$C$33:$C$52)/1000</f>
        <v>0</v>
      </c>
      <c r="AJ49" s="442">
        <f>E49*F49*_xlfn.XLOOKUP(I49,'Utslippsfaktorer Transport'!$A$9:$A$19,'Utslippsfaktorer Transport'!$B$9:$B$19)*_xlfn.XLOOKUP(J49,'Utslippsfaktorer Transport'!$A$33:$A$52,'Utslippsfaktorer Transport'!$D$33:$D$52)/1000</f>
        <v>0</v>
      </c>
      <c r="AK49" s="904">
        <f>E49*G49*_xlfn.XLOOKUP(K49,'Utslippsfaktorer Transport'!$A$26:$A$29,'Utslippsfaktorer Transport'!$F$26:$F$29)/1000</f>
        <v>0</v>
      </c>
      <c r="AL49" s="904">
        <f>E49*G49*_xlfn.XLOOKUP(K49,'Utslippsfaktorer Transport'!$A$26:$A$29,'Utslippsfaktorer Transport'!$G$26:$G$29)/1000</f>
        <v>0</v>
      </c>
      <c r="AM49" s="904">
        <f>E49*G49*_xlfn.XLOOKUP(K49,'Utslippsfaktorer Transport'!$A$26:$A$29,'Utslippsfaktorer Transport'!$H$26:$H$29)/1000</f>
        <v>0</v>
      </c>
      <c r="AN49" s="442">
        <f>H49*E49*_xlfn.XLOOKUP(L49,'Utslippsfaktorer Transport'!$A$23:$A$25,'Utslippsfaktorer Transport'!$C$23:$C$25)/1000</f>
        <v>0</v>
      </c>
      <c r="AO49" s="442">
        <f>H49*E49*_xlfn.XLOOKUP(L49,'Utslippsfaktorer Transport'!$A$23:$A$25,'Utslippsfaktorer Transport'!$D$23:$D$25)/1000</f>
        <v>0</v>
      </c>
      <c r="AP49" s="902">
        <f>H49*E49*_xlfn.XLOOKUP(L49,'Utslippsfaktorer Transport'!$A$23:$A$25,'Utslippsfaktorer Transport'!$E$23:$E$25)/1000</f>
        <v>0</v>
      </c>
    </row>
    <row r="50" spans="1:42" outlineLevel="1" x14ac:dyDescent="0.3">
      <c r="A50" s="338">
        <v>0</v>
      </c>
      <c r="B50" s="906">
        <f>VLOOKUP(C50,'Vann og Avløp-utslippsfaktorer'!$A$3:$D$82,4,FALSE)</f>
        <v>2146</v>
      </c>
      <c r="C50" s="373" t="s">
        <v>257</v>
      </c>
      <c r="D50" s="313"/>
      <c r="E50" s="315">
        <v>0</v>
      </c>
      <c r="F50" s="315">
        <v>100</v>
      </c>
      <c r="G50" s="315">
        <v>0</v>
      </c>
      <c r="H50" s="340">
        <v>0</v>
      </c>
      <c r="I50" s="483" t="s">
        <v>865</v>
      </c>
      <c r="J50" s="360" t="s">
        <v>648</v>
      </c>
      <c r="K50" s="360" t="s">
        <v>871</v>
      </c>
      <c r="L50" s="360" t="s">
        <v>868</v>
      </c>
      <c r="M50" s="473">
        <f>_xlfn.XLOOKUP(I50,'Utslippsfaktorer Transport'!$A$10:$A$19,'Utslippsfaktorer Transport'!$B$10:$B$19)*_xlfn.XLOOKUP(J50,'Utslippsfaktorer Transport'!$A$34:$A$52,'Utslippsfaktorer Transport'!$E$34:$E$52)</f>
        <v>64.47</v>
      </c>
      <c r="N50" s="442">
        <f>_xlfn.XLOOKUP(K50,'Utslippsfaktorer Transport'!$A$27:$A$29,'Utslippsfaktorer Transport'!$F$27:$F$29)</f>
        <v>17.5</v>
      </c>
      <c r="O50" s="902">
        <f>_xlfn.XLOOKUP(L50,'Utslippsfaktorer Transport'!$A$23:$A$25,'Utslippsfaktorer Transport'!$C$23:$C$25)</f>
        <v>0</v>
      </c>
      <c r="P50" s="373"/>
      <c r="Q50" s="313"/>
      <c r="R50" s="313"/>
      <c r="S50" s="313"/>
      <c r="T50" s="316"/>
      <c r="AG50" s="373" t="s">
        <v>257</v>
      </c>
      <c r="AH50" s="442">
        <f>E50*F50*_xlfn.XLOOKUP(I50,'Utslippsfaktorer Transport'!$A$9:$A$19,'Utslippsfaktorer Transport'!$B$9:$B$19)*_xlfn.XLOOKUP(J50,'Utslippsfaktorer Transport'!$A$33:$A$52,'Utslippsfaktorer Transport'!$B$33:$B$52)/1000</f>
        <v>0</v>
      </c>
      <c r="AI50" s="442">
        <f>E50*F50*_xlfn.XLOOKUP(I50,'Utslippsfaktorer Transport'!$A$9:$A$19,'Utslippsfaktorer Transport'!$B$9:$B$19)*_xlfn.XLOOKUP(J50,'Utslippsfaktorer Transport'!$A$33:$A$52,'Utslippsfaktorer Transport'!$C$33:$C$52)/1000</f>
        <v>0</v>
      </c>
      <c r="AJ50" s="442">
        <f>E50*F50*_xlfn.XLOOKUP(I50,'Utslippsfaktorer Transport'!$A$9:$A$19,'Utslippsfaktorer Transport'!$B$9:$B$19)*_xlfn.XLOOKUP(J50,'Utslippsfaktorer Transport'!$A$33:$A$52,'Utslippsfaktorer Transport'!$D$33:$D$52)/1000</f>
        <v>0</v>
      </c>
      <c r="AK50" s="904">
        <f>E50*G50*_xlfn.XLOOKUP(K50,'Utslippsfaktorer Transport'!$A$26:$A$29,'Utslippsfaktorer Transport'!$F$26:$F$29)/1000</f>
        <v>0</v>
      </c>
      <c r="AL50" s="904">
        <f>E50*G50*_xlfn.XLOOKUP(K50,'Utslippsfaktorer Transport'!$A$26:$A$29,'Utslippsfaktorer Transport'!$G$26:$G$29)/1000</f>
        <v>0</v>
      </c>
      <c r="AM50" s="904">
        <f>E50*G50*_xlfn.XLOOKUP(K50,'Utslippsfaktorer Transport'!$A$26:$A$29,'Utslippsfaktorer Transport'!$H$26:$H$29)/1000</f>
        <v>0</v>
      </c>
      <c r="AN50" s="442">
        <f>H50*E50*_xlfn.XLOOKUP(L50,'Utslippsfaktorer Transport'!$A$23:$A$25,'Utslippsfaktorer Transport'!$C$23:$C$25)/1000</f>
        <v>0</v>
      </c>
      <c r="AO50" s="442">
        <f>H50*E50*_xlfn.XLOOKUP(L50,'Utslippsfaktorer Transport'!$A$23:$A$25,'Utslippsfaktorer Transport'!$D$23:$D$25)/1000</f>
        <v>0</v>
      </c>
      <c r="AP50" s="902">
        <f>H50*E50*_xlfn.XLOOKUP(L50,'Utslippsfaktorer Transport'!$A$23:$A$25,'Utslippsfaktorer Transport'!$E$23:$E$25)/1000</f>
        <v>0</v>
      </c>
    </row>
    <row r="51" spans="1:42" outlineLevel="1" x14ac:dyDescent="0.3">
      <c r="A51" s="338">
        <v>0</v>
      </c>
      <c r="B51" s="906">
        <f>VLOOKUP(C51,'Vann og Avløp-utslippsfaktorer'!$A$3:$D$82,4,FALSE)</f>
        <v>1339</v>
      </c>
      <c r="C51" s="373" t="s">
        <v>320</v>
      </c>
      <c r="D51" s="313"/>
      <c r="E51" s="315">
        <v>0</v>
      </c>
      <c r="F51" s="315">
        <v>100</v>
      </c>
      <c r="G51" s="315">
        <v>0</v>
      </c>
      <c r="H51" s="340">
        <v>0</v>
      </c>
      <c r="I51" s="483" t="s">
        <v>865</v>
      </c>
      <c r="J51" s="360" t="s">
        <v>648</v>
      </c>
      <c r="K51" s="360" t="s">
        <v>871</v>
      </c>
      <c r="L51" s="360" t="s">
        <v>868</v>
      </c>
      <c r="M51" s="473">
        <f>_xlfn.XLOOKUP(I51,'Utslippsfaktorer Transport'!$A$10:$A$19,'Utslippsfaktorer Transport'!$B$10:$B$19)*_xlfn.XLOOKUP(J51,'Utslippsfaktorer Transport'!$A$34:$A$52,'Utslippsfaktorer Transport'!$E$34:$E$52)</f>
        <v>64.47</v>
      </c>
      <c r="N51" s="442">
        <f>_xlfn.XLOOKUP(K51,'Utslippsfaktorer Transport'!$A$27:$A$29,'Utslippsfaktorer Transport'!$F$27:$F$29)</f>
        <v>17.5</v>
      </c>
      <c r="O51" s="902">
        <f>_xlfn.XLOOKUP(L51,'Utslippsfaktorer Transport'!$A$23:$A$25,'Utslippsfaktorer Transport'!$C$23:$C$25)</f>
        <v>0</v>
      </c>
      <c r="P51" s="373"/>
      <c r="Q51" s="313"/>
      <c r="R51" s="313"/>
      <c r="S51" s="313"/>
      <c r="T51" s="316"/>
      <c r="AG51" s="373" t="s">
        <v>320</v>
      </c>
      <c r="AH51" s="442">
        <f>E51*F51*_xlfn.XLOOKUP(I51,'Utslippsfaktorer Transport'!$A$9:$A$19,'Utslippsfaktorer Transport'!$B$9:$B$19)*_xlfn.XLOOKUP(J51,'Utslippsfaktorer Transport'!$A$33:$A$52,'Utslippsfaktorer Transport'!$B$33:$B$52)/1000</f>
        <v>0</v>
      </c>
      <c r="AI51" s="442">
        <f>E51*F51*_xlfn.XLOOKUP(I51,'Utslippsfaktorer Transport'!$A$9:$A$19,'Utslippsfaktorer Transport'!$B$9:$B$19)*_xlfn.XLOOKUP(J51,'Utslippsfaktorer Transport'!$A$33:$A$52,'Utslippsfaktorer Transport'!$C$33:$C$52)/1000</f>
        <v>0</v>
      </c>
      <c r="AJ51" s="442">
        <f>E51*F51*_xlfn.XLOOKUP(I51,'Utslippsfaktorer Transport'!$A$9:$A$19,'Utslippsfaktorer Transport'!$B$9:$B$19)*_xlfn.XLOOKUP(J51,'Utslippsfaktorer Transport'!$A$33:$A$52,'Utslippsfaktorer Transport'!$D$33:$D$52)/1000</f>
        <v>0</v>
      </c>
      <c r="AK51" s="904">
        <f>E51*G51*_xlfn.XLOOKUP(K51,'Utslippsfaktorer Transport'!$A$26:$A$29,'Utslippsfaktorer Transport'!$F$26:$F$29)/1000</f>
        <v>0</v>
      </c>
      <c r="AL51" s="904">
        <f>E51*G51*_xlfn.XLOOKUP(K51,'Utslippsfaktorer Transport'!$A$26:$A$29,'Utslippsfaktorer Transport'!$G$26:$G$29)/1000</f>
        <v>0</v>
      </c>
      <c r="AM51" s="904">
        <f>E51*G51*_xlfn.XLOOKUP(K51,'Utslippsfaktorer Transport'!$A$26:$A$29,'Utslippsfaktorer Transport'!$H$26:$H$29)/1000</f>
        <v>0</v>
      </c>
      <c r="AN51" s="442">
        <f>H51*E51*_xlfn.XLOOKUP(L51,'Utslippsfaktorer Transport'!$A$23:$A$25,'Utslippsfaktorer Transport'!$C$23:$C$25)/1000</f>
        <v>0</v>
      </c>
      <c r="AO51" s="442">
        <f>H51*E51*_xlfn.XLOOKUP(L51,'Utslippsfaktorer Transport'!$A$23:$A$25,'Utslippsfaktorer Transport'!$D$23:$D$25)/1000</f>
        <v>0</v>
      </c>
      <c r="AP51" s="902">
        <f>H51*E51*_xlfn.XLOOKUP(L51,'Utslippsfaktorer Transport'!$A$23:$A$25,'Utslippsfaktorer Transport'!$E$23:$E$25)/1000</f>
        <v>0</v>
      </c>
    </row>
    <row r="52" spans="1:42" outlineLevel="1" x14ac:dyDescent="0.3">
      <c r="A52" s="338">
        <v>0</v>
      </c>
      <c r="B52" s="906">
        <f>VLOOKUP(C52,'Vann og Avløp-utslippsfaktorer'!$A$3:$D$82,4,FALSE)</f>
        <v>1370</v>
      </c>
      <c r="C52" s="373" t="s">
        <v>281</v>
      </c>
      <c r="D52" s="313"/>
      <c r="E52" s="315">
        <v>0</v>
      </c>
      <c r="F52" s="315">
        <v>100</v>
      </c>
      <c r="G52" s="315">
        <v>0</v>
      </c>
      <c r="H52" s="340">
        <v>0</v>
      </c>
      <c r="I52" s="483" t="s">
        <v>865</v>
      </c>
      <c r="J52" s="360" t="s">
        <v>648</v>
      </c>
      <c r="K52" s="360" t="s">
        <v>871</v>
      </c>
      <c r="L52" s="360" t="s">
        <v>868</v>
      </c>
      <c r="M52" s="473">
        <f>_xlfn.XLOOKUP(I52,'Utslippsfaktorer Transport'!$A$10:$A$19,'Utslippsfaktorer Transport'!$B$10:$B$19)*_xlfn.XLOOKUP(J52,'Utslippsfaktorer Transport'!$A$34:$A$52,'Utslippsfaktorer Transport'!$E$34:$E$52)</f>
        <v>64.47</v>
      </c>
      <c r="N52" s="442">
        <f>_xlfn.XLOOKUP(K52,'Utslippsfaktorer Transport'!$A$27:$A$29,'Utslippsfaktorer Transport'!$F$27:$F$29)</f>
        <v>17.5</v>
      </c>
      <c r="O52" s="902">
        <f>_xlfn.XLOOKUP(L52,'Utslippsfaktorer Transport'!$A$23:$A$25,'Utslippsfaktorer Transport'!$C$23:$C$25)</f>
        <v>0</v>
      </c>
      <c r="P52" s="373"/>
      <c r="Q52" s="313"/>
      <c r="R52" s="313"/>
      <c r="S52" s="313"/>
      <c r="T52" s="316"/>
      <c r="AG52" s="373" t="s">
        <v>281</v>
      </c>
      <c r="AH52" s="442">
        <f>E52*F52*_xlfn.XLOOKUP(I52,'Utslippsfaktorer Transport'!$A$9:$A$19,'Utslippsfaktorer Transport'!$B$9:$B$19)*_xlfn.XLOOKUP(J52,'Utslippsfaktorer Transport'!$A$33:$A$52,'Utslippsfaktorer Transport'!$B$33:$B$52)/1000</f>
        <v>0</v>
      </c>
      <c r="AI52" s="442">
        <f>E52*F52*_xlfn.XLOOKUP(I52,'Utslippsfaktorer Transport'!$A$9:$A$19,'Utslippsfaktorer Transport'!$B$9:$B$19)*_xlfn.XLOOKUP(J52,'Utslippsfaktorer Transport'!$A$33:$A$52,'Utslippsfaktorer Transport'!$C$33:$C$52)/1000</f>
        <v>0</v>
      </c>
      <c r="AJ52" s="442">
        <f>E52*F52*_xlfn.XLOOKUP(I52,'Utslippsfaktorer Transport'!$A$9:$A$19,'Utslippsfaktorer Transport'!$B$9:$B$19)*_xlfn.XLOOKUP(J52,'Utslippsfaktorer Transport'!$A$33:$A$52,'Utslippsfaktorer Transport'!$D$33:$D$52)/1000</f>
        <v>0</v>
      </c>
      <c r="AK52" s="904">
        <f>E52*G52*_xlfn.XLOOKUP(K52,'Utslippsfaktorer Transport'!$A$26:$A$29,'Utslippsfaktorer Transport'!$F$26:$F$29)/1000</f>
        <v>0</v>
      </c>
      <c r="AL52" s="904">
        <f>E52*G52*_xlfn.XLOOKUP(K52,'Utslippsfaktorer Transport'!$A$26:$A$29,'Utslippsfaktorer Transport'!$G$26:$G$29)/1000</f>
        <v>0</v>
      </c>
      <c r="AM52" s="904">
        <f>E52*G52*_xlfn.XLOOKUP(K52,'Utslippsfaktorer Transport'!$A$26:$A$29,'Utslippsfaktorer Transport'!$H$26:$H$29)/1000</f>
        <v>0</v>
      </c>
      <c r="AN52" s="442">
        <f>H52*E52*_xlfn.XLOOKUP(L52,'Utslippsfaktorer Transport'!$A$23:$A$25,'Utslippsfaktorer Transport'!$C$23:$C$25)/1000</f>
        <v>0</v>
      </c>
      <c r="AO52" s="442">
        <f>H52*E52*_xlfn.XLOOKUP(L52,'Utslippsfaktorer Transport'!$A$23:$A$25,'Utslippsfaktorer Transport'!$D$23:$D$25)/1000</f>
        <v>0</v>
      </c>
      <c r="AP52" s="902">
        <f>H52*E52*_xlfn.XLOOKUP(L52,'Utslippsfaktorer Transport'!$A$23:$A$25,'Utslippsfaktorer Transport'!$E$23:$E$25)/1000</f>
        <v>0</v>
      </c>
    </row>
    <row r="53" spans="1:42" ht="15" outlineLevel="1" thickBot="1" x14ac:dyDescent="0.35">
      <c r="A53" s="326">
        <v>0</v>
      </c>
      <c r="B53" s="907">
        <f>VLOOKUP(C53,'Vann og Avløp-utslippsfaktorer'!$A$3:$D$82,4,FALSE)</f>
        <v>1910</v>
      </c>
      <c r="C53" s="376" t="s">
        <v>282</v>
      </c>
      <c r="D53" s="318"/>
      <c r="E53" s="319">
        <v>0</v>
      </c>
      <c r="F53" s="319">
        <v>100</v>
      </c>
      <c r="G53" s="319">
        <v>0</v>
      </c>
      <c r="H53" s="352">
        <v>0</v>
      </c>
      <c r="I53" s="365" t="s">
        <v>865</v>
      </c>
      <c r="J53" s="329" t="s">
        <v>648</v>
      </c>
      <c r="K53" s="329" t="s">
        <v>871</v>
      </c>
      <c r="L53" s="329" t="s">
        <v>868</v>
      </c>
      <c r="M53" s="479">
        <f>_xlfn.XLOOKUP(I53,'Utslippsfaktorer Transport'!$A$10:$A$19,'Utslippsfaktorer Transport'!$B$10:$B$19)*_xlfn.XLOOKUP(J53,'Utslippsfaktorer Transport'!$A$34:$A$52,'Utslippsfaktorer Transport'!$E$34:$E$52)</f>
        <v>64.47</v>
      </c>
      <c r="N53" s="441">
        <f>_xlfn.XLOOKUP(K53,'Utslippsfaktorer Transport'!$A$27:$A$29,'Utslippsfaktorer Transport'!$F$27:$F$29)</f>
        <v>17.5</v>
      </c>
      <c r="O53" s="903">
        <f>_xlfn.XLOOKUP(L53,'Utslippsfaktorer Transport'!$A$23:$A$25,'Utslippsfaktorer Transport'!$C$23:$C$25)</f>
        <v>0</v>
      </c>
      <c r="P53" s="376"/>
      <c r="Q53" s="318"/>
      <c r="R53" s="318"/>
      <c r="S53" s="318"/>
      <c r="T53" s="320"/>
      <c r="AG53" s="376" t="s">
        <v>282</v>
      </c>
      <c r="AH53" s="441">
        <f>E53*F53*_xlfn.XLOOKUP(I53,'Utslippsfaktorer Transport'!$A$9:$A$19,'Utslippsfaktorer Transport'!$B$9:$B$19)*_xlfn.XLOOKUP(J53,'Utslippsfaktorer Transport'!$A$33:$A$52,'Utslippsfaktorer Transport'!$B$33:$B$52)/1000</f>
        <v>0</v>
      </c>
      <c r="AI53" s="441">
        <f>E53*F53*_xlfn.XLOOKUP(I53,'Utslippsfaktorer Transport'!$A$9:$A$19,'Utslippsfaktorer Transport'!$B$9:$B$19)*_xlfn.XLOOKUP(J53,'Utslippsfaktorer Transport'!$A$33:$A$52,'Utslippsfaktorer Transport'!$C$33:$C$52)/1000</f>
        <v>0</v>
      </c>
      <c r="AJ53" s="441">
        <f>E53*F53*_xlfn.XLOOKUP(I53,'Utslippsfaktorer Transport'!$A$9:$A$19,'Utslippsfaktorer Transport'!$B$9:$B$19)*_xlfn.XLOOKUP(J53,'Utslippsfaktorer Transport'!$A$33:$A$52,'Utslippsfaktorer Transport'!$D$33:$D$52)/1000</f>
        <v>0</v>
      </c>
      <c r="AK53" s="905">
        <f>E53*G53*_xlfn.XLOOKUP(K53,'Utslippsfaktorer Transport'!$A$26:$A$29,'Utslippsfaktorer Transport'!$F$26:$F$29)/1000</f>
        <v>0</v>
      </c>
      <c r="AL53" s="905">
        <f>E53*G53*_xlfn.XLOOKUP(K53,'Utslippsfaktorer Transport'!$A$26:$A$29,'Utslippsfaktorer Transport'!$G$26:$G$29)/1000</f>
        <v>0</v>
      </c>
      <c r="AM53" s="905">
        <f>E53*G53*_xlfn.XLOOKUP(K53,'Utslippsfaktorer Transport'!$A$26:$A$29,'Utslippsfaktorer Transport'!$H$26:$H$29)/1000</f>
        <v>0</v>
      </c>
      <c r="AN53" s="441">
        <f>H53*E53*_xlfn.XLOOKUP(L53,'Utslippsfaktorer Transport'!$A$23:$A$25,'Utslippsfaktorer Transport'!$C$23:$C$25)/1000</f>
        <v>0</v>
      </c>
      <c r="AO53" s="441">
        <f>H53*E53*_xlfn.XLOOKUP(L53,'Utslippsfaktorer Transport'!$A$23:$A$25,'Utslippsfaktorer Transport'!$D$23:$D$25)/1000</f>
        <v>0</v>
      </c>
      <c r="AP53" s="903">
        <f>H53*E53*_xlfn.XLOOKUP(L53,'Utslippsfaktorer Transport'!$A$23:$A$25,'Utslippsfaktorer Transport'!$E$23:$E$25)/1000</f>
        <v>0</v>
      </c>
    </row>
    <row r="54" spans="1:42" ht="15" thickBot="1" x14ac:dyDescent="0.35">
      <c r="AK54" s="660"/>
      <c r="AL54" s="660"/>
      <c r="AM54" s="660"/>
    </row>
    <row r="55" spans="1:42" ht="15.6" outlineLevel="1" x14ac:dyDescent="0.3">
      <c r="A55" s="310" t="s">
        <v>777</v>
      </c>
      <c r="B55" s="683" t="s">
        <v>330</v>
      </c>
      <c r="C55" s="654" t="s">
        <v>404</v>
      </c>
      <c r="D55" s="684"/>
      <c r="E55" s="656" t="s">
        <v>321</v>
      </c>
      <c r="F55" s="656" t="s">
        <v>669</v>
      </c>
      <c r="G55" s="656" t="s">
        <v>667</v>
      </c>
      <c r="H55" s="419" t="s">
        <v>670</v>
      </c>
      <c r="I55" s="378" t="s">
        <v>891</v>
      </c>
      <c r="J55" s="307" t="s">
        <v>892</v>
      </c>
      <c r="K55" s="307" t="s">
        <v>893</v>
      </c>
      <c r="L55" s="307" t="s">
        <v>890</v>
      </c>
      <c r="M55" s="307" t="s">
        <v>894</v>
      </c>
      <c r="N55" s="307" t="s">
        <v>895</v>
      </c>
      <c r="O55" s="419" t="s">
        <v>901</v>
      </c>
      <c r="P55" s="381"/>
      <c r="Q55" s="458"/>
      <c r="R55" s="458"/>
      <c r="S55" s="458"/>
      <c r="T55" s="459"/>
      <c r="AG55" s="654" t="s">
        <v>404</v>
      </c>
      <c r="AH55" s="307"/>
      <c r="AI55" s="307"/>
      <c r="AJ55" s="307"/>
      <c r="AK55" s="661"/>
      <c r="AL55" s="661"/>
      <c r="AM55" s="661"/>
      <c r="AN55" s="307"/>
      <c r="AO55" s="307"/>
      <c r="AP55" s="419"/>
    </row>
    <row r="56" spans="1:42" outlineLevel="1" x14ac:dyDescent="0.3">
      <c r="A56" s="315">
        <v>0</v>
      </c>
      <c r="B56" s="922">
        <f>VLOOKUP(C56,'Vann og Avløp-utslippsfaktorer'!$A$3:$D$82,4,FALSE)</f>
        <v>1130</v>
      </c>
      <c r="C56" s="301" t="s">
        <v>303</v>
      </c>
      <c r="E56" s="315">
        <v>0</v>
      </c>
      <c r="F56" s="315">
        <v>100</v>
      </c>
      <c r="G56" s="315">
        <v>0</v>
      </c>
      <c r="H56" s="340">
        <v>0</v>
      </c>
      <c r="I56" s="483" t="s">
        <v>865</v>
      </c>
      <c r="J56" s="360" t="s">
        <v>648</v>
      </c>
      <c r="K56" s="360" t="s">
        <v>871</v>
      </c>
      <c r="L56" s="360" t="s">
        <v>868</v>
      </c>
      <c r="M56" s="473">
        <f>_xlfn.XLOOKUP(I56,'Utslippsfaktorer Transport'!$A$10:$A$19,'Utslippsfaktorer Transport'!$B$10:$B$19)*_xlfn.XLOOKUP(J56,'Utslippsfaktorer Transport'!$A$34:$A$52,'Utslippsfaktorer Transport'!$E$34:$E$52)</f>
        <v>64.47</v>
      </c>
      <c r="N56" s="442">
        <f>_xlfn.XLOOKUP(K56,'Utslippsfaktorer Transport'!$A$27:$A$29,'Utslippsfaktorer Transport'!$F$27:$F$29)</f>
        <v>17.5</v>
      </c>
      <c r="O56" s="902">
        <f>_xlfn.XLOOKUP(L56,'Utslippsfaktorer Transport'!$A$23:$A$25,'Utslippsfaktorer Transport'!$C$23:$C$25)</f>
        <v>0</v>
      </c>
      <c r="P56" s="373"/>
      <c r="T56" s="316"/>
      <c r="AG56" s="373" t="s">
        <v>303</v>
      </c>
      <c r="AH56" s="442">
        <f>E56*F56*_xlfn.XLOOKUP(I56,'Utslippsfaktorer Transport'!$A$9:$A$19,'Utslippsfaktorer Transport'!$B$9:$B$19)*_xlfn.XLOOKUP(J56,'Utslippsfaktorer Transport'!$A$33:$A$52,'Utslippsfaktorer Transport'!$B$33:$B$52)/1000</f>
        <v>0</v>
      </c>
      <c r="AI56" s="442">
        <f>E56*F56*_xlfn.XLOOKUP(I56,'Utslippsfaktorer Transport'!$A$9:$A$19,'Utslippsfaktorer Transport'!$B$9:$B$19)*_xlfn.XLOOKUP(J56,'Utslippsfaktorer Transport'!$A$33:$A$52,'Utslippsfaktorer Transport'!$C$33:$C$52)/1000</f>
        <v>0</v>
      </c>
      <c r="AJ56" s="442">
        <f>E56*F56*_xlfn.XLOOKUP(I56,'Utslippsfaktorer Transport'!$A$9:$A$19,'Utslippsfaktorer Transport'!$B$9:$B$19)*_xlfn.XLOOKUP(J56,'Utslippsfaktorer Transport'!$A$33:$A$52,'Utslippsfaktorer Transport'!$D$33:$D$52)/1000</f>
        <v>0</v>
      </c>
      <c r="AK56" s="904">
        <f>E56*G56*_xlfn.XLOOKUP(K56,'Utslippsfaktorer Transport'!$A$26:$A$29,'Utslippsfaktorer Transport'!$F$26:$F$29)/1000</f>
        <v>0</v>
      </c>
      <c r="AL56" s="904">
        <f>E56*G56*_xlfn.XLOOKUP(K56,'Utslippsfaktorer Transport'!$A$26:$A$29,'Utslippsfaktorer Transport'!$G$26:$G$29)/1000</f>
        <v>0</v>
      </c>
      <c r="AM56" s="904">
        <f>E56*G56*_xlfn.XLOOKUP(K56,'Utslippsfaktorer Transport'!$A$26:$A$29,'Utslippsfaktorer Transport'!$H$26:$H$29)/1000</f>
        <v>0</v>
      </c>
      <c r="AN56" s="442">
        <f>H56*E56*_xlfn.XLOOKUP(L56,'Utslippsfaktorer Transport'!$A$23:$A$25,'Utslippsfaktorer Transport'!$C$23:$C$25)/1000</f>
        <v>0</v>
      </c>
      <c r="AO56" s="442">
        <f>H56*E56*_xlfn.XLOOKUP(L56,'Utslippsfaktorer Transport'!$A$23:$A$25,'Utslippsfaktorer Transport'!$D$23:$D$25)/1000</f>
        <v>0</v>
      </c>
      <c r="AP56" s="902">
        <f>H56*E56*_xlfn.XLOOKUP(L56,'Utslippsfaktorer Transport'!$A$23:$A$25,'Utslippsfaktorer Transport'!$E$23:$E$25)/1000</f>
        <v>0</v>
      </c>
    </row>
    <row r="57" spans="1:42" ht="15.6" outlineLevel="1" x14ac:dyDescent="0.35">
      <c r="A57" s="315">
        <v>0</v>
      </c>
      <c r="B57" s="906">
        <f>VLOOKUP(C57,'Vann og Avløp-utslippsfaktorer'!$A$3:$D$82,4,FALSE)</f>
        <v>871</v>
      </c>
      <c r="C57" s="301" t="s">
        <v>304</v>
      </c>
      <c r="E57" s="315">
        <v>0</v>
      </c>
      <c r="F57" s="315">
        <v>100</v>
      </c>
      <c r="G57" s="315">
        <v>0</v>
      </c>
      <c r="H57" s="340">
        <v>0</v>
      </c>
      <c r="I57" s="483" t="s">
        <v>865</v>
      </c>
      <c r="J57" s="360" t="s">
        <v>648</v>
      </c>
      <c r="K57" s="360" t="s">
        <v>871</v>
      </c>
      <c r="L57" s="360" t="s">
        <v>868</v>
      </c>
      <c r="M57" s="473">
        <f>_xlfn.XLOOKUP(I57,'Utslippsfaktorer Transport'!$A$10:$A$19,'Utslippsfaktorer Transport'!$B$10:$B$19)*_xlfn.XLOOKUP(J57,'Utslippsfaktorer Transport'!$A$34:$A$52,'Utslippsfaktorer Transport'!$E$34:$E$52)</f>
        <v>64.47</v>
      </c>
      <c r="N57" s="442">
        <f>_xlfn.XLOOKUP(K57,'Utslippsfaktorer Transport'!$A$27:$A$29,'Utslippsfaktorer Transport'!$F$27:$F$29)</f>
        <v>17.5</v>
      </c>
      <c r="O57" s="902">
        <f>_xlfn.XLOOKUP(L57,'Utslippsfaktorer Transport'!$A$23:$A$25,'Utslippsfaktorer Transport'!$C$23:$C$25)</f>
        <v>0</v>
      </c>
      <c r="P57" s="373"/>
      <c r="T57" s="316"/>
      <c r="AG57" s="373" t="s">
        <v>304</v>
      </c>
      <c r="AH57" s="442">
        <f>E57*F57*_xlfn.XLOOKUP(I57,'Utslippsfaktorer Transport'!$A$9:$A$19,'Utslippsfaktorer Transport'!$B$9:$B$19)*_xlfn.XLOOKUP(J57,'Utslippsfaktorer Transport'!$A$33:$A$52,'Utslippsfaktorer Transport'!$B$33:$B$52)/1000</f>
        <v>0</v>
      </c>
      <c r="AI57" s="442">
        <f>E57*F57*_xlfn.XLOOKUP(I57,'Utslippsfaktorer Transport'!$A$9:$A$19,'Utslippsfaktorer Transport'!$B$9:$B$19)*_xlfn.XLOOKUP(J57,'Utslippsfaktorer Transport'!$A$33:$A$52,'Utslippsfaktorer Transport'!$C$33:$C$52)/1000</f>
        <v>0</v>
      </c>
      <c r="AJ57" s="442">
        <f>E57*F57*_xlfn.XLOOKUP(I57,'Utslippsfaktorer Transport'!$A$9:$A$19,'Utslippsfaktorer Transport'!$B$9:$B$19)*_xlfn.XLOOKUP(J57,'Utslippsfaktorer Transport'!$A$33:$A$52,'Utslippsfaktorer Transport'!$D$33:$D$52)/1000</f>
        <v>0</v>
      </c>
      <c r="AK57" s="904">
        <f>E57*G57*_xlfn.XLOOKUP(K57,'Utslippsfaktorer Transport'!$A$26:$A$29,'Utslippsfaktorer Transport'!$F$26:$F$29)/1000</f>
        <v>0</v>
      </c>
      <c r="AL57" s="904">
        <f>E57*G57*_xlfn.XLOOKUP(K57,'Utslippsfaktorer Transport'!$A$26:$A$29,'Utslippsfaktorer Transport'!$G$26:$G$29)/1000</f>
        <v>0</v>
      </c>
      <c r="AM57" s="904">
        <f>E57*G57*_xlfn.XLOOKUP(K57,'Utslippsfaktorer Transport'!$A$26:$A$29,'Utslippsfaktorer Transport'!$H$26:$H$29)/1000</f>
        <v>0</v>
      </c>
      <c r="AN57" s="442">
        <f>H57*E57*_xlfn.XLOOKUP(L57,'Utslippsfaktorer Transport'!$A$23:$A$25,'Utslippsfaktorer Transport'!$C$23:$C$25)/1000</f>
        <v>0</v>
      </c>
      <c r="AO57" s="442">
        <f>H57*E57*_xlfn.XLOOKUP(L57,'Utslippsfaktorer Transport'!$A$23:$A$25,'Utslippsfaktorer Transport'!$D$23:$D$25)/1000</f>
        <v>0</v>
      </c>
      <c r="AP57" s="902">
        <f>H57*E57*_xlfn.XLOOKUP(L57,'Utslippsfaktorer Transport'!$A$23:$A$25,'Utslippsfaktorer Transport'!$E$23:$E$25)/1000</f>
        <v>0</v>
      </c>
    </row>
    <row r="58" spans="1:42" ht="15.6" outlineLevel="1" x14ac:dyDescent="0.35">
      <c r="A58" s="315">
        <v>0</v>
      </c>
      <c r="B58" s="906">
        <f>VLOOKUP(C58,'Vann og Avløp-utslippsfaktorer'!$A$3:$D$82,4,FALSE)</f>
        <v>12.6</v>
      </c>
      <c r="C58" s="301" t="s">
        <v>306</v>
      </c>
      <c r="E58" s="315">
        <v>0</v>
      </c>
      <c r="F58" s="315">
        <v>100</v>
      </c>
      <c r="G58" s="315">
        <v>0</v>
      </c>
      <c r="H58" s="340">
        <v>0</v>
      </c>
      <c r="I58" s="483" t="s">
        <v>865</v>
      </c>
      <c r="J58" s="360" t="s">
        <v>648</v>
      </c>
      <c r="K58" s="360" t="s">
        <v>871</v>
      </c>
      <c r="L58" s="360" t="s">
        <v>868</v>
      </c>
      <c r="M58" s="473">
        <f>_xlfn.XLOOKUP(I58,'Utslippsfaktorer Transport'!$A$10:$A$19,'Utslippsfaktorer Transport'!$B$10:$B$19)*_xlfn.XLOOKUP(J58,'Utslippsfaktorer Transport'!$A$34:$A$52,'Utslippsfaktorer Transport'!$E$34:$E$52)</f>
        <v>64.47</v>
      </c>
      <c r="N58" s="442">
        <f>_xlfn.XLOOKUP(K58,'Utslippsfaktorer Transport'!$A$27:$A$29,'Utslippsfaktorer Transport'!$F$27:$F$29)</f>
        <v>17.5</v>
      </c>
      <c r="O58" s="902">
        <f>_xlfn.XLOOKUP(L58,'Utslippsfaktorer Transport'!$A$23:$A$25,'Utslippsfaktorer Transport'!$C$23:$C$25)</f>
        <v>0</v>
      </c>
      <c r="P58" s="373"/>
      <c r="T58" s="316"/>
      <c r="AG58" s="373" t="s">
        <v>306</v>
      </c>
      <c r="AH58" s="442">
        <f>E58*F58*_xlfn.XLOOKUP(I58,'Utslippsfaktorer Transport'!$A$9:$A$19,'Utslippsfaktorer Transport'!$B$9:$B$19)*_xlfn.XLOOKUP(J58,'Utslippsfaktorer Transport'!$A$33:$A$52,'Utslippsfaktorer Transport'!$B$33:$B$52)/1000</f>
        <v>0</v>
      </c>
      <c r="AI58" s="442">
        <f>E58*F58*_xlfn.XLOOKUP(I58,'Utslippsfaktorer Transport'!$A$9:$A$19,'Utslippsfaktorer Transport'!$B$9:$B$19)*_xlfn.XLOOKUP(J58,'Utslippsfaktorer Transport'!$A$33:$A$52,'Utslippsfaktorer Transport'!$C$33:$C$52)/1000</f>
        <v>0</v>
      </c>
      <c r="AJ58" s="442">
        <f>E58*F58*_xlfn.XLOOKUP(I58,'Utslippsfaktorer Transport'!$A$9:$A$19,'Utslippsfaktorer Transport'!$B$9:$B$19)*_xlfn.XLOOKUP(J58,'Utslippsfaktorer Transport'!$A$33:$A$52,'Utslippsfaktorer Transport'!$D$33:$D$52)/1000</f>
        <v>0</v>
      </c>
      <c r="AK58" s="904">
        <f>E58*G58*_xlfn.XLOOKUP(K58,'Utslippsfaktorer Transport'!$A$26:$A$29,'Utslippsfaktorer Transport'!$F$26:$F$29)/1000</f>
        <v>0</v>
      </c>
      <c r="AL58" s="904">
        <f>E58*G58*_xlfn.XLOOKUP(K58,'Utslippsfaktorer Transport'!$A$26:$A$29,'Utslippsfaktorer Transport'!$G$26:$G$29)/1000</f>
        <v>0</v>
      </c>
      <c r="AM58" s="904">
        <f>E58*G58*_xlfn.XLOOKUP(K58,'Utslippsfaktorer Transport'!$A$26:$A$29,'Utslippsfaktorer Transport'!$H$26:$H$29)/1000</f>
        <v>0</v>
      </c>
      <c r="AN58" s="442">
        <f>H58*E58*_xlfn.XLOOKUP(L58,'Utslippsfaktorer Transport'!$A$23:$A$25,'Utslippsfaktorer Transport'!$C$23:$C$25)/1000</f>
        <v>0</v>
      </c>
      <c r="AO58" s="442">
        <f>H58*E58*_xlfn.XLOOKUP(L58,'Utslippsfaktorer Transport'!$A$23:$A$25,'Utslippsfaktorer Transport'!$D$23:$D$25)/1000</f>
        <v>0</v>
      </c>
      <c r="AP58" s="902">
        <f>H58*E58*_xlfn.XLOOKUP(L58,'Utslippsfaktorer Transport'!$A$23:$A$25,'Utslippsfaktorer Transport'!$E$23:$E$25)/1000</f>
        <v>0</v>
      </c>
    </row>
    <row r="59" spans="1:42" outlineLevel="1" x14ac:dyDescent="0.3">
      <c r="A59" s="315">
        <v>0</v>
      </c>
      <c r="B59" s="906">
        <f>VLOOKUP(C59,'Vann og Avløp-utslippsfaktorer'!$A$3:$D$82,4,FALSE)</f>
        <v>403</v>
      </c>
      <c r="C59" s="301" t="s">
        <v>305</v>
      </c>
      <c r="E59" s="315">
        <v>0</v>
      </c>
      <c r="F59" s="315">
        <v>100</v>
      </c>
      <c r="G59" s="315">
        <v>0</v>
      </c>
      <c r="H59" s="340">
        <v>0</v>
      </c>
      <c r="I59" s="483" t="s">
        <v>865</v>
      </c>
      <c r="J59" s="360" t="s">
        <v>648</v>
      </c>
      <c r="K59" s="360" t="s">
        <v>871</v>
      </c>
      <c r="L59" s="360" t="s">
        <v>868</v>
      </c>
      <c r="M59" s="473">
        <f>_xlfn.XLOOKUP(I59,'Utslippsfaktorer Transport'!$A$10:$A$19,'Utslippsfaktorer Transport'!$B$10:$B$19)*_xlfn.XLOOKUP(J59,'Utslippsfaktorer Transport'!$A$34:$A$52,'Utslippsfaktorer Transport'!$E$34:$E$52)</f>
        <v>64.47</v>
      </c>
      <c r="N59" s="442">
        <f>_xlfn.XLOOKUP(K59,'Utslippsfaktorer Transport'!$A$27:$A$29,'Utslippsfaktorer Transport'!$F$27:$F$29)</f>
        <v>17.5</v>
      </c>
      <c r="O59" s="902">
        <f>_xlfn.XLOOKUP(L59,'Utslippsfaktorer Transport'!$A$23:$A$25,'Utslippsfaktorer Transport'!$C$23:$C$25)</f>
        <v>0</v>
      </c>
      <c r="P59" s="373"/>
      <c r="T59" s="316"/>
      <c r="AG59" s="373" t="s">
        <v>305</v>
      </c>
      <c r="AH59" s="442">
        <f>E59*F59*_xlfn.XLOOKUP(I59,'Utslippsfaktorer Transport'!$A$9:$A$19,'Utslippsfaktorer Transport'!$B$9:$B$19)*_xlfn.XLOOKUP(J59,'Utslippsfaktorer Transport'!$A$33:$A$52,'Utslippsfaktorer Transport'!$B$33:$B$52)/1000</f>
        <v>0</v>
      </c>
      <c r="AI59" s="442">
        <f>E59*F59*_xlfn.XLOOKUP(I59,'Utslippsfaktorer Transport'!$A$9:$A$19,'Utslippsfaktorer Transport'!$B$9:$B$19)*_xlfn.XLOOKUP(J59,'Utslippsfaktorer Transport'!$A$33:$A$52,'Utslippsfaktorer Transport'!$C$33:$C$52)/1000</f>
        <v>0</v>
      </c>
      <c r="AJ59" s="442">
        <f>E59*F59*_xlfn.XLOOKUP(I59,'Utslippsfaktorer Transport'!$A$9:$A$19,'Utslippsfaktorer Transport'!$B$9:$B$19)*_xlfn.XLOOKUP(J59,'Utslippsfaktorer Transport'!$A$33:$A$52,'Utslippsfaktorer Transport'!$D$33:$D$52)/1000</f>
        <v>0</v>
      </c>
      <c r="AK59" s="904">
        <f>E59*G59*_xlfn.XLOOKUP(K59,'Utslippsfaktorer Transport'!$A$26:$A$29,'Utslippsfaktorer Transport'!$F$26:$F$29)/1000</f>
        <v>0</v>
      </c>
      <c r="AL59" s="904">
        <f>E59*G59*_xlfn.XLOOKUP(K59,'Utslippsfaktorer Transport'!$A$26:$A$29,'Utslippsfaktorer Transport'!$G$26:$G$29)/1000</f>
        <v>0</v>
      </c>
      <c r="AM59" s="904">
        <f>E59*G59*_xlfn.XLOOKUP(K59,'Utslippsfaktorer Transport'!$A$26:$A$29,'Utslippsfaktorer Transport'!$H$26:$H$29)/1000</f>
        <v>0</v>
      </c>
      <c r="AN59" s="442">
        <f>H59*E59*_xlfn.XLOOKUP(L59,'Utslippsfaktorer Transport'!$A$23:$A$25,'Utslippsfaktorer Transport'!$C$23:$C$25)/1000</f>
        <v>0</v>
      </c>
      <c r="AO59" s="442">
        <f>H59*E59*_xlfn.XLOOKUP(L59,'Utslippsfaktorer Transport'!$A$23:$A$25,'Utslippsfaktorer Transport'!$D$23:$D$25)/1000</f>
        <v>0</v>
      </c>
      <c r="AP59" s="902">
        <f>H59*E59*_xlfn.XLOOKUP(L59,'Utslippsfaktorer Transport'!$A$23:$A$25,'Utslippsfaktorer Transport'!$E$23:$E$25)/1000</f>
        <v>0</v>
      </c>
    </row>
    <row r="60" spans="1:42" ht="15" outlineLevel="1" thickBot="1" x14ac:dyDescent="0.35">
      <c r="A60" s="319">
        <v>0</v>
      </c>
      <c r="B60" s="907">
        <f>VLOOKUP(C60,'Vann og Avløp-utslippsfaktorer'!$A$3:$D$82,4,FALSE)</f>
        <v>241.8</v>
      </c>
      <c r="C60" s="318" t="s">
        <v>540</v>
      </c>
      <c r="D60" s="318"/>
      <c r="E60" s="329">
        <v>0</v>
      </c>
      <c r="F60" s="319">
        <v>100</v>
      </c>
      <c r="G60" s="319">
        <v>0</v>
      </c>
      <c r="H60" s="352">
        <v>0</v>
      </c>
      <c r="I60" s="365" t="s">
        <v>865</v>
      </c>
      <c r="J60" s="329" t="s">
        <v>648</v>
      </c>
      <c r="K60" s="329" t="s">
        <v>871</v>
      </c>
      <c r="L60" s="329" t="s">
        <v>868</v>
      </c>
      <c r="M60" s="479">
        <f>_xlfn.XLOOKUP(I60,'Utslippsfaktorer Transport'!$A$10:$A$19,'Utslippsfaktorer Transport'!$B$10:$B$19)*_xlfn.XLOOKUP(J60,'Utslippsfaktorer Transport'!$A$34:$A$52,'Utslippsfaktorer Transport'!$E$34:$E$52)</f>
        <v>64.47</v>
      </c>
      <c r="N60" s="441">
        <f>_xlfn.XLOOKUP(K60,'Utslippsfaktorer Transport'!$A$27:$A$29,'Utslippsfaktorer Transport'!$F$27:$F$29)</f>
        <v>17.5</v>
      </c>
      <c r="O60" s="903">
        <f>_xlfn.XLOOKUP(L60,'Utslippsfaktorer Transport'!$A$23:$A$25,'Utslippsfaktorer Transport'!$C$23:$C$25)</f>
        <v>0</v>
      </c>
      <c r="P60" s="376"/>
      <c r="Q60" s="318"/>
      <c r="R60" s="318"/>
      <c r="S60" s="318"/>
      <c r="T60" s="320"/>
      <c r="AG60" s="376" t="s">
        <v>540</v>
      </c>
      <c r="AH60" s="441">
        <f>E60*F60*_xlfn.XLOOKUP(I60,'Utslippsfaktorer Transport'!$A$9:$A$19,'Utslippsfaktorer Transport'!$B$9:$B$19)*_xlfn.XLOOKUP(J60,'Utslippsfaktorer Transport'!$A$33:$A$52,'Utslippsfaktorer Transport'!$B$33:$B$52)/1000</f>
        <v>0</v>
      </c>
      <c r="AI60" s="441">
        <f>E60*F60*_xlfn.XLOOKUP(I60,'Utslippsfaktorer Transport'!$A$9:$A$19,'Utslippsfaktorer Transport'!$B$9:$B$19)*_xlfn.XLOOKUP(J60,'Utslippsfaktorer Transport'!$A$33:$A$52,'Utslippsfaktorer Transport'!$C$33:$C$52)/1000</f>
        <v>0</v>
      </c>
      <c r="AJ60" s="441">
        <f>E60*F60*_xlfn.XLOOKUP(I60,'Utslippsfaktorer Transport'!$A$9:$A$19,'Utslippsfaktorer Transport'!$B$9:$B$19)*_xlfn.XLOOKUP(J60,'Utslippsfaktorer Transport'!$A$33:$A$52,'Utslippsfaktorer Transport'!$D$33:$D$52)/1000</f>
        <v>0</v>
      </c>
      <c r="AK60" s="905">
        <f>E60*G60*_xlfn.XLOOKUP(K60,'Utslippsfaktorer Transport'!$A$26:$A$29,'Utslippsfaktorer Transport'!$F$26:$F$29)/1000</f>
        <v>0</v>
      </c>
      <c r="AL60" s="905">
        <f>E60*G60*_xlfn.XLOOKUP(K60,'Utslippsfaktorer Transport'!$A$26:$A$29,'Utslippsfaktorer Transport'!$G$26:$G$29)/1000</f>
        <v>0</v>
      </c>
      <c r="AM60" s="905">
        <f>E60*G60*_xlfn.XLOOKUP(K60,'Utslippsfaktorer Transport'!$A$26:$A$29,'Utslippsfaktorer Transport'!$H$26:$H$29)/1000</f>
        <v>0</v>
      </c>
      <c r="AN60" s="441">
        <f>H60*E60*_xlfn.XLOOKUP(L60,'Utslippsfaktorer Transport'!$A$23:$A$25,'Utslippsfaktorer Transport'!$C$23:$C$25)/1000</f>
        <v>0</v>
      </c>
      <c r="AO60" s="441">
        <f>H60*E60*_xlfn.XLOOKUP(L60,'Utslippsfaktorer Transport'!$A$23:$A$25,'Utslippsfaktorer Transport'!$D$23:$D$25)/1000</f>
        <v>0</v>
      </c>
      <c r="AP60" s="903">
        <f>H60*E60*_xlfn.XLOOKUP(L60,'Utslippsfaktorer Transport'!$A$23:$A$25,'Utslippsfaktorer Transport'!$E$23:$E$25)/1000</f>
        <v>0</v>
      </c>
    </row>
    <row r="61" spans="1:42" outlineLevel="1" x14ac:dyDescent="0.3">
      <c r="AK61" s="660"/>
      <c r="AL61" s="660"/>
      <c r="AM61" s="660"/>
    </row>
    <row r="62" spans="1:42" ht="15" thickBot="1" x14ac:dyDescent="0.35">
      <c r="A62" s="334" t="s">
        <v>1019</v>
      </c>
      <c r="D62" s="334"/>
      <c r="AK62" s="660"/>
      <c r="AL62" s="660"/>
      <c r="AM62" s="660"/>
    </row>
    <row r="63" spans="1:42" ht="15.6" outlineLevel="1" x14ac:dyDescent="0.3">
      <c r="A63" s="310" t="s">
        <v>777</v>
      </c>
      <c r="B63" s="683" t="s">
        <v>330</v>
      </c>
      <c r="C63" s="654" t="s">
        <v>314</v>
      </c>
      <c r="D63" s="687" t="s">
        <v>763</v>
      </c>
      <c r="E63" s="656" t="s">
        <v>321</v>
      </c>
      <c r="F63" s="656" t="s">
        <v>669</v>
      </c>
      <c r="G63" s="656" t="s">
        <v>667</v>
      </c>
      <c r="H63" s="419" t="s">
        <v>670</v>
      </c>
      <c r="I63" s="378" t="s">
        <v>891</v>
      </c>
      <c r="J63" s="307" t="s">
        <v>892</v>
      </c>
      <c r="K63" s="307" t="s">
        <v>893</v>
      </c>
      <c r="L63" s="307" t="s">
        <v>890</v>
      </c>
      <c r="M63" s="307" t="s">
        <v>894</v>
      </c>
      <c r="N63" s="307" t="s">
        <v>895</v>
      </c>
      <c r="O63" s="419" t="s">
        <v>901</v>
      </c>
      <c r="P63" s="458"/>
      <c r="Q63" s="458"/>
      <c r="R63" s="458"/>
      <c r="S63" s="458"/>
      <c r="T63" s="459"/>
      <c r="AG63" s="654" t="s">
        <v>314</v>
      </c>
      <c r="AH63" s="307"/>
      <c r="AI63" s="307"/>
      <c r="AJ63" s="307"/>
      <c r="AK63" s="661"/>
      <c r="AL63" s="661"/>
      <c r="AM63" s="661"/>
      <c r="AN63" s="307"/>
      <c r="AO63" s="307"/>
      <c r="AP63" s="419"/>
    </row>
    <row r="64" spans="1:42" outlineLevel="1" x14ac:dyDescent="0.3">
      <c r="A64" s="315">
        <v>0</v>
      </c>
      <c r="B64" s="922">
        <f>VLOOKUP(C64,'Vann og Avløp-utslippsfaktorer'!$A$3:$D$82,4,FALSE)</f>
        <v>2880</v>
      </c>
      <c r="C64" s="373" t="s">
        <v>622</v>
      </c>
      <c r="D64" s="688">
        <v>1</v>
      </c>
      <c r="E64" s="315">
        <v>0</v>
      </c>
      <c r="F64" s="315">
        <v>100</v>
      </c>
      <c r="G64" s="315">
        <v>0</v>
      </c>
      <c r="H64" s="340">
        <v>0</v>
      </c>
      <c r="I64" s="483" t="s">
        <v>865</v>
      </c>
      <c r="J64" s="360" t="s">
        <v>648</v>
      </c>
      <c r="K64" s="360" t="s">
        <v>871</v>
      </c>
      <c r="L64" s="360" t="s">
        <v>868</v>
      </c>
      <c r="M64" s="473">
        <f>_xlfn.XLOOKUP(I64,'Utslippsfaktorer Transport'!$A$10:$A$19,'Utslippsfaktorer Transport'!$B$10:$B$19)*_xlfn.XLOOKUP(J64,'Utslippsfaktorer Transport'!$A$34:$A$52,'Utslippsfaktorer Transport'!$E$34:$E$52)</f>
        <v>64.47</v>
      </c>
      <c r="N64" s="442">
        <f>_xlfn.XLOOKUP(K64,'Utslippsfaktorer Transport'!$A$27:$A$29,'Utslippsfaktorer Transport'!$F$27:$F$29)</f>
        <v>17.5</v>
      </c>
      <c r="O64" s="902">
        <f>_xlfn.XLOOKUP(L64,'Utslippsfaktorer Transport'!$A$23:$A$25,'Utslippsfaktorer Transport'!$C$23:$C$25)</f>
        <v>0</v>
      </c>
      <c r="P64" s="313"/>
      <c r="Q64" s="313"/>
      <c r="R64" s="313"/>
      <c r="S64" s="313"/>
      <c r="T64" s="316"/>
      <c r="AG64" s="373" t="s">
        <v>622</v>
      </c>
      <c r="AH64" s="442">
        <f>E64*F64*_xlfn.XLOOKUP(I64,'Utslippsfaktorer Transport'!$A$9:$A$19,'Utslippsfaktorer Transport'!$B$9:$B$19)*_xlfn.XLOOKUP(J64,'Utslippsfaktorer Transport'!$A$33:$A$52,'Utslippsfaktorer Transport'!$B$33:$B$52)/1000/D64</f>
        <v>0</v>
      </c>
      <c r="AI64" s="442">
        <f>E64*F64*_xlfn.XLOOKUP(I64,'Utslippsfaktorer Transport'!$A$9:$A$19,'Utslippsfaktorer Transport'!$B$9:$B$19)*_xlfn.XLOOKUP(J64,'Utslippsfaktorer Transport'!$A$33:$A$52,'Utslippsfaktorer Transport'!$C$33:$C$52)/1000/D64</f>
        <v>0</v>
      </c>
      <c r="AJ64" s="442">
        <f>E64*F64*_xlfn.XLOOKUP(I64,'Utslippsfaktorer Transport'!$A$9:$A$19,'Utslippsfaktorer Transport'!$B$9:$B$19)*_xlfn.XLOOKUP(J64,'Utslippsfaktorer Transport'!$A$33:$A$52,'Utslippsfaktorer Transport'!$D$33:$D$52)/1000/D64</f>
        <v>0</v>
      </c>
      <c r="AK64" s="904">
        <f>E64*G64*_xlfn.XLOOKUP(K64,'Utslippsfaktorer Transport'!$A$26:$A$29,'Utslippsfaktorer Transport'!$F$26:$F$29)/1000/D64</f>
        <v>0</v>
      </c>
      <c r="AL64" s="904">
        <f>E64*G64*_xlfn.XLOOKUP(K64,'Utslippsfaktorer Transport'!$A$26:$A$29,'Utslippsfaktorer Transport'!$G$26:$G$29)/1000/D64</f>
        <v>0</v>
      </c>
      <c r="AM64" s="904">
        <f>E64*G64*_xlfn.XLOOKUP(K64,'Utslippsfaktorer Transport'!$A$26:$A$29,'Utslippsfaktorer Transport'!$H$26:$H$29)/1000/D64</f>
        <v>0</v>
      </c>
      <c r="AN64" s="442">
        <f>H64*E64*_xlfn.XLOOKUP(L64,'Utslippsfaktorer Transport'!$A$23:$A$25,'Utslippsfaktorer Transport'!$C$23:$C$25)/1000/D64</f>
        <v>0</v>
      </c>
      <c r="AO64" s="442">
        <f>H64*E64*_xlfn.XLOOKUP(L64,'Utslippsfaktorer Transport'!$A$23:$A$25,'Utslippsfaktorer Transport'!$D$23:$D$25)/1000/D64</f>
        <v>0</v>
      </c>
      <c r="AP64" s="902">
        <f>H64*E64*_xlfn.XLOOKUP(L64,'Utslippsfaktorer Transport'!$A$23:$A$25,'Utslippsfaktorer Transport'!$E$23:$E$25)/1000/D64</f>
        <v>0</v>
      </c>
    </row>
    <row r="65" spans="1:42" outlineLevel="1" x14ac:dyDescent="0.3">
      <c r="A65" s="315">
        <v>0</v>
      </c>
      <c r="B65" s="906">
        <f>VLOOKUP(C65,'Vann og Avløp-utslippsfaktorer'!$A$3:$D$82,4,FALSE)</f>
        <v>1130</v>
      </c>
      <c r="C65" s="373" t="s">
        <v>909</v>
      </c>
      <c r="D65" s="688">
        <v>1</v>
      </c>
      <c r="E65" s="315">
        <v>0</v>
      </c>
      <c r="F65" s="315">
        <v>100</v>
      </c>
      <c r="G65" s="315">
        <v>0</v>
      </c>
      <c r="H65" s="340">
        <v>0</v>
      </c>
      <c r="I65" s="483" t="s">
        <v>865</v>
      </c>
      <c r="J65" s="360" t="s">
        <v>648</v>
      </c>
      <c r="K65" s="360" t="s">
        <v>871</v>
      </c>
      <c r="L65" s="360" t="s">
        <v>868</v>
      </c>
      <c r="M65" s="473">
        <f>_xlfn.XLOOKUP(I65,'Utslippsfaktorer Transport'!$A$10:$A$19,'Utslippsfaktorer Transport'!$B$10:$B$19)*_xlfn.XLOOKUP(J65,'Utslippsfaktorer Transport'!$A$34:$A$52,'Utslippsfaktorer Transport'!$E$34:$E$52)</f>
        <v>64.47</v>
      </c>
      <c r="N65" s="442">
        <f>_xlfn.XLOOKUP(K65,'Utslippsfaktorer Transport'!$A$27:$A$29,'Utslippsfaktorer Transport'!$F$27:$F$29)</f>
        <v>17.5</v>
      </c>
      <c r="O65" s="902">
        <f>_xlfn.XLOOKUP(L65,'Utslippsfaktorer Transport'!$A$23:$A$25,'Utslippsfaktorer Transport'!$C$23:$C$25)</f>
        <v>0</v>
      </c>
      <c r="T65" s="316"/>
      <c r="AG65" s="373" t="s">
        <v>283</v>
      </c>
      <c r="AH65" s="442">
        <f>E65*F65*_xlfn.XLOOKUP(I65,'Utslippsfaktorer Transport'!$A$9:$A$19,'Utslippsfaktorer Transport'!$B$9:$B$19)*_xlfn.XLOOKUP(J65,'Utslippsfaktorer Transport'!$A$33:$A$52,'Utslippsfaktorer Transport'!$B$33:$B$52)/1000/D65</f>
        <v>0</v>
      </c>
      <c r="AI65" s="442">
        <f>E65*F65*_xlfn.XLOOKUP(I65,'Utslippsfaktorer Transport'!$A$9:$A$19,'Utslippsfaktorer Transport'!$B$9:$B$19)*_xlfn.XLOOKUP(J65,'Utslippsfaktorer Transport'!$A$33:$A$52,'Utslippsfaktorer Transport'!$C$33:$C$52)/1000/D65</f>
        <v>0</v>
      </c>
      <c r="AJ65" s="442">
        <f>E65*F65*_xlfn.XLOOKUP(I65,'Utslippsfaktorer Transport'!$A$9:$A$19,'Utslippsfaktorer Transport'!$B$9:$B$19)*_xlfn.XLOOKUP(J65,'Utslippsfaktorer Transport'!$A$33:$A$52,'Utslippsfaktorer Transport'!$D$33:$D$52)/1000/D65</f>
        <v>0</v>
      </c>
      <c r="AK65" s="904">
        <f>E65*G65*_xlfn.XLOOKUP(K65,'Utslippsfaktorer Transport'!$A$26:$A$29,'Utslippsfaktorer Transport'!$F$26:$F$29)/1000/D65</f>
        <v>0</v>
      </c>
      <c r="AL65" s="904">
        <f>E65*G65*_xlfn.XLOOKUP(K65,'Utslippsfaktorer Transport'!$A$26:$A$29,'Utslippsfaktorer Transport'!$G$26:$G$29)/1000/D65</f>
        <v>0</v>
      </c>
      <c r="AM65" s="904">
        <f>E65*G65*_xlfn.XLOOKUP(K65,'Utslippsfaktorer Transport'!$A$26:$A$29,'Utslippsfaktorer Transport'!$H$26:$H$29)/1000/D65</f>
        <v>0</v>
      </c>
      <c r="AN65" s="442">
        <f>H65*E65*_xlfn.XLOOKUP(L65,'Utslippsfaktorer Transport'!$A$23:$A$25,'Utslippsfaktorer Transport'!$C$23:$C$25)/1000/D65</f>
        <v>0</v>
      </c>
      <c r="AO65" s="442">
        <f>H65*E65*_xlfn.XLOOKUP(L65,'Utslippsfaktorer Transport'!$A$23:$A$25,'Utslippsfaktorer Transport'!$D$23:$D$25)/1000/D65</f>
        <v>0</v>
      </c>
      <c r="AP65" s="902">
        <f>H65*E65*_xlfn.XLOOKUP(L65,'Utslippsfaktorer Transport'!$A$23:$A$25,'Utslippsfaktorer Transport'!$E$23:$E$25)/1000/D65</f>
        <v>0</v>
      </c>
    </row>
    <row r="66" spans="1:42" outlineLevel="1" x14ac:dyDescent="0.3">
      <c r="A66" s="315">
        <v>0</v>
      </c>
      <c r="B66" s="906">
        <f>VLOOKUP(C66,'Vann og Avløp-utslippsfaktorer'!$A$3:$D$82,4,FALSE)</f>
        <v>3390</v>
      </c>
      <c r="C66" s="373" t="s">
        <v>910</v>
      </c>
      <c r="D66" s="688">
        <v>1</v>
      </c>
      <c r="E66" s="315">
        <v>0</v>
      </c>
      <c r="F66" s="315">
        <v>100</v>
      </c>
      <c r="G66" s="315">
        <v>0</v>
      </c>
      <c r="H66" s="340">
        <v>0</v>
      </c>
      <c r="I66" s="483" t="s">
        <v>865</v>
      </c>
      <c r="J66" s="360" t="s">
        <v>648</v>
      </c>
      <c r="K66" s="360" t="s">
        <v>871</v>
      </c>
      <c r="L66" s="360" t="s">
        <v>868</v>
      </c>
      <c r="M66" s="473">
        <f>_xlfn.XLOOKUP(I66,'Utslippsfaktorer Transport'!$A$10:$A$19,'Utslippsfaktorer Transport'!$B$10:$B$19)*_xlfn.XLOOKUP(J66,'Utslippsfaktorer Transport'!$A$34:$A$52,'Utslippsfaktorer Transport'!$E$34:$E$52)</f>
        <v>64.47</v>
      </c>
      <c r="N66" s="442">
        <f>_xlfn.XLOOKUP(K66,'Utslippsfaktorer Transport'!$A$27:$A$29,'Utslippsfaktorer Transport'!$F$27:$F$29)</f>
        <v>17.5</v>
      </c>
      <c r="O66" s="902">
        <f>_xlfn.XLOOKUP(L66,'Utslippsfaktorer Transport'!$A$23:$A$25,'Utslippsfaktorer Transport'!$C$23:$C$25)</f>
        <v>0</v>
      </c>
      <c r="T66" s="316"/>
      <c r="AG66" s="373" t="s">
        <v>284</v>
      </c>
      <c r="AH66" s="442">
        <f>E66*F66*_xlfn.XLOOKUP(I66,'Utslippsfaktorer Transport'!$A$9:$A$19,'Utslippsfaktorer Transport'!$B$9:$B$19)*_xlfn.XLOOKUP(J66,'Utslippsfaktorer Transport'!$A$33:$A$52,'Utslippsfaktorer Transport'!$B$33:$B$52)/1000/D66</f>
        <v>0</v>
      </c>
      <c r="AI66" s="442">
        <f>E66*F66*_xlfn.XLOOKUP(I66,'Utslippsfaktorer Transport'!$A$9:$A$19,'Utslippsfaktorer Transport'!$B$9:$B$19)*_xlfn.XLOOKUP(J66,'Utslippsfaktorer Transport'!$A$33:$A$52,'Utslippsfaktorer Transport'!$C$33:$C$52)/1000/D66</f>
        <v>0</v>
      </c>
      <c r="AJ66" s="442">
        <f>E66*F66*_xlfn.XLOOKUP(I66,'Utslippsfaktorer Transport'!$A$9:$A$19,'Utslippsfaktorer Transport'!$B$9:$B$19)*_xlfn.XLOOKUP(J66,'Utslippsfaktorer Transport'!$A$33:$A$52,'Utslippsfaktorer Transport'!$D$33:$D$52)/1000/D66</f>
        <v>0</v>
      </c>
      <c r="AK66" s="904">
        <f>E66*G66*_xlfn.XLOOKUP(K66,'Utslippsfaktorer Transport'!$A$26:$A$29,'Utslippsfaktorer Transport'!$F$26:$F$29)/1000/D66</f>
        <v>0</v>
      </c>
      <c r="AL66" s="904">
        <f>E66*G66*_xlfn.XLOOKUP(K66,'Utslippsfaktorer Transport'!$A$26:$A$29,'Utslippsfaktorer Transport'!$G$26:$G$29)/1000/D66</f>
        <v>0</v>
      </c>
      <c r="AM66" s="904">
        <f>E66*G66*_xlfn.XLOOKUP(K66,'Utslippsfaktorer Transport'!$A$26:$A$29,'Utslippsfaktorer Transport'!$H$26:$H$29)/1000/D66</f>
        <v>0</v>
      </c>
      <c r="AN66" s="442">
        <f>H66*E66*_xlfn.XLOOKUP(L66,'Utslippsfaktorer Transport'!$A$23:$A$25,'Utslippsfaktorer Transport'!$C$23:$C$25)/1000/D66</f>
        <v>0</v>
      </c>
      <c r="AO66" s="442">
        <f>H66*E66*_xlfn.XLOOKUP(L66,'Utslippsfaktorer Transport'!$A$23:$A$25,'Utslippsfaktorer Transport'!$D$23:$D$25)/1000/D66</f>
        <v>0</v>
      </c>
      <c r="AP66" s="902">
        <f>H66*E66*_xlfn.XLOOKUP(L66,'Utslippsfaktorer Transport'!$A$23:$A$25,'Utslippsfaktorer Transport'!$E$23:$E$25)/1000/D66</f>
        <v>0</v>
      </c>
    </row>
    <row r="67" spans="1:42" outlineLevel="1" x14ac:dyDescent="0.3">
      <c r="A67" s="315">
        <v>0</v>
      </c>
      <c r="B67" s="906">
        <f>VLOOKUP(C67,'Vann og Avløp-utslippsfaktorer'!$A$3:$D$82,4,FALSE)</f>
        <v>932</v>
      </c>
      <c r="C67" s="373" t="s">
        <v>911</v>
      </c>
      <c r="D67" s="688">
        <v>1</v>
      </c>
      <c r="E67" s="315">
        <v>0</v>
      </c>
      <c r="F67" s="315">
        <v>100</v>
      </c>
      <c r="G67" s="315">
        <v>0</v>
      </c>
      <c r="H67" s="340">
        <v>0</v>
      </c>
      <c r="I67" s="483" t="s">
        <v>865</v>
      </c>
      <c r="J67" s="360" t="s">
        <v>648</v>
      </c>
      <c r="K67" s="360" t="s">
        <v>871</v>
      </c>
      <c r="L67" s="360" t="s">
        <v>868</v>
      </c>
      <c r="M67" s="473">
        <f>_xlfn.XLOOKUP(I67,'Utslippsfaktorer Transport'!$A$10:$A$19,'Utslippsfaktorer Transport'!$B$10:$B$19)*_xlfn.XLOOKUP(J67,'Utslippsfaktorer Transport'!$A$34:$A$52,'Utslippsfaktorer Transport'!$E$34:$E$52)</f>
        <v>64.47</v>
      </c>
      <c r="N67" s="442">
        <f>_xlfn.XLOOKUP(K67,'Utslippsfaktorer Transport'!$A$27:$A$29,'Utslippsfaktorer Transport'!$F$27:$F$29)</f>
        <v>17.5</v>
      </c>
      <c r="O67" s="902">
        <f>_xlfn.XLOOKUP(L67,'Utslippsfaktorer Transport'!$A$23:$A$25,'Utslippsfaktorer Transport'!$C$23:$C$25)</f>
        <v>0</v>
      </c>
      <c r="T67" s="316"/>
      <c r="AG67" s="373" t="s">
        <v>911</v>
      </c>
      <c r="AH67" s="442">
        <f>E67*F67*_xlfn.XLOOKUP(I67,'Utslippsfaktorer Transport'!$A$9:$A$19,'Utslippsfaktorer Transport'!$B$9:$B$19)*_xlfn.XLOOKUP(J67,'Utslippsfaktorer Transport'!$A$33:$A$52,'Utslippsfaktorer Transport'!$B$33:$B$52)/1000/D67</f>
        <v>0</v>
      </c>
      <c r="AI67" s="442">
        <f>E67*F67*_xlfn.XLOOKUP(I67,'Utslippsfaktorer Transport'!$A$9:$A$19,'Utslippsfaktorer Transport'!$B$9:$B$19)*_xlfn.XLOOKUP(J67,'Utslippsfaktorer Transport'!$A$33:$A$52,'Utslippsfaktorer Transport'!$C$33:$C$52)/1000/D67</f>
        <v>0</v>
      </c>
      <c r="AJ67" s="442">
        <f>E67*F67*_xlfn.XLOOKUP(I67,'Utslippsfaktorer Transport'!$A$9:$A$19,'Utslippsfaktorer Transport'!$B$9:$B$19)*_xlfn.XLOOKUP(J67,'Utslippsfaktorer Transport'!$A$33:$A$52,'Utslippsfaktorer Transport'!$D$33:$D$52)/1000/D67</f>
        <v>0</v>
      </c>
      <c r="AK67" s="904">
        <f>E67*G67*_xlfn.XLOOKUP(K67,'Utslippsfaktorer Transport'!$A$26:$A$29,'Utslippsfaktorer Transport'!$F$26:$F$29)/1000/D67</f>
        <v>0</v>
      </c>
      <c r="AL67" s="904">
        <f>E67*G67*_xlfn.XLOOKUP(K67,'Utslippsfaktorer Transport'!$A$26:$A$29,'Utslippsfaktorer Transport'!$G$26:$G$29)/1000/D67</f>
        <v>0</v>
      </c>
      <c r="AM67" s="904">
        <f>E67*G67*_xlfn.XLOOKUP(K67,'Utslippsfaktorer Transport'!$A$26:$A$29,'Utslippsfaktorer Transport'!$H$26:$H$29)/1000/D67</f>
        <v>0</v>
      </c>
      <c r="AN67" s="442">
        <f>H67*E67*_xlfn.XLOOKUP(L67,'Utslippsfaktorer Transport'!$A$23:$A$25,'Utslippsfaktorer Transport'!$C$23:$C$25)/1000/D67</f>
        <v>0</v>
      </c>
      <c r="AO67" s="442">
        <f>H67*E67*_xlfn.XLOOKUP(L67,'Utslippsfaktorer Transport'!$A$23:$A$25,'Utslippsfaktorer Transport'!$D$23:$D$25)/1000/D67</f>
        <v>0</v>
      </c>
      <c r="AP67" s="902">
        <f>H67*E67*_xlfn.XLOOKUP(L67,'Utslippsfaktorer Transport'!$A$23:$A$25,'Utslippsfaktorer Transport'!$E$23:$E$25)/1000/D67</f>
        <v>0</v>
      </c>
    </row>
    <row r="68" spans="1:42" outlineLevel="1" x14ac:dyDescent="0.3">
      <c r="A68" s="315"/>
      <c r="B68" s="906">
        <f>VLOOKUP(C68,'Vann og Avløp-utslippsfaktorer'!$A$3:$D$82,4,FALSE)</f>
        <v>2810</v>
      </c>
      <c r="C68" s="373" t="s">
        <v>930</v>
      </c>
      <c r="D68" s="688">
        <v>1</v>
      </c>
      <c r="E68" s="315">
        <v>0</v>
      </c>
      <c r="F68" s="315">
        <v>100</v>
      </c>
      <c r="G68" s="315">
        <v>0</v>
      </c>
      <c r="H68" s="340">
        <v>0</v>
      </c>
      <c r="I68" s="483" t="s">
        <v>865</v>
      </c>
      <c r="J68" s="360" t="s">
        <v>648</v>
      </c>
      <c r="K68" s="360" t="s">
        <v>871</v>
      </c>
      <c r="L68" s="360" t="s">
        <v>868</v>
      </c>
      <c r="M68" s="473">
        <f>_xlfn.XLOOKUP(I68,'Utslippsfaktorer Transport'!$A$10:$A$19,'Utslippsfaktorer Transport'!$B$10:$B$19)*_xlfn.XLOOKUP(J68,'Utslippsfaktorer Transport'!$A$34:$A$52,'Utslippsfaktorer Transport'!$E$34:$E$52)</f>
        <v>64.47</v>
      </c>
      <c r="N68" s="442">
        <f>_xlfn.XLOOKUP(K68,'Utslippsfaktorer Transport'!$A$27:$A$29,'Utslippsfaktorer Transport'!$F$27:$F$29)</f>
        <v>17.5</v>
      </c>
      <c r="O68" s="902">
        <f>_xlfn.XLOOKUP(L68,'Utslippsfaktorer Transport'!$A$23:$A$25,'Utslippsfaktorer Transport'!$C$23:$C$25)</f>
        <v>0</v>
      </c>
      <c r="T68" s="316"/>
      <c r="AG68" s="373" t="s">
        <v>930</v>
      </c>
      <c r="AH68" s="442">
        <f>E68*F68*_xlfn.XLOOKUP(I68,'Utslippsfaktorer Transport'!$A$9:$A$19,'Utslippsfaktorer Transport'!$B$9:$B$19)*_xlfn.XLOOKUP(J68,'Utslippsfaktorer Transport'!$A$33:$A$52,'Utslippsfaktorer Transport'!$B$33:$B$52)/1000/D68</f>
        <v>0</v>
      </c>
      <c r="AI68" s="442">
        <f>E68*F68*_xlfn.XLOOKUP(I68,'Utslippsfaktorer Transport'!$A$9:$A$19,'Utslippsfaktorer Transport'!$B$9:$B$19)*_xlfn.XLOOKUP(J68,'Utslippsfaktorer Transport'!$A$33:$A$52,'Utslippsfaktorer Transport'!$C$33:$C$52)/1000/D68</f>
        <v>0</v>
      </c>
      <c r="AJ68" s="442">
        <f>E68*F68*_xlfn.XLOOKUP(I68,'Utslippsfaktorer Transport'!$A$9:$A$19,'Utslippsfaktorer Transport'!$B$9:$B$19)*_xlfn.XLOOKUP(J68,'Utslippsfaktorer Transport'!$A$33:$A$52,'Utslippsfaktorer Transport'!$D$33:$D$52)/1000/D68</f>
        <v>0</v>
      </c>
      <c r="AK68" s="904">
        <f>E68*G68*_xlfn.XLOOKUP(K68,'Utslippsfaktorer Transport'!$A$26:$A$29,'Utslippsfaktorer Transport'!$F$26:$F$29)/1000/D68</f>
        <v>0</v>
      </c>
      <c r="AL68" s="904">
        <f>E68*G68*_xlfn.XLOOKUP(K68,'Utslippsfaktorer Transport'!$A$26:$A$29,'Utslippsfaktorer Transport'!$G$26:$G$29)/1000/D68</f>
        <v>0</v>
      </c>
      <c r="AM68" s="904">
        <f>E68*G68*_xlfn.XLOOKUP(K68,'Utslippsfaktorer Transport'!$A$26:$A$29,'Utslippsfaktorer Transport'!$H$26:$H$29)/1000/D68</f>
        <v>0</v>
      </c>
      <c r="AN68" s="442">
        <f>H68*E68*_xlfn.XLOOKUP(L68,'Utslippsfaktorer Transport'!$A$23:$A$25,'Utslippsfaktorer Transport'!$C$23:$C$25)/1000/D68</f>
        <v>0</v>
      </c>
      <c r="AO68" s="442">
        <f>H68*E68*_xlfn.XLOOKUP(L68,'Utslippsfaktorer Transport'!$A$23:$A$25,'Utslippsfaktorer Transport'!$D$23:$D$25)/1000/D68</f>
        <v>0</v>
      </c>
      <c r="AP68" s="902">
        <f>H68*E68*_xlfn.XLOOKUP(L68,'Utslippsfaktorer Transport'!$A$23:$A$25,'Utslippsfaktorer Transport'!$E$23:$E$25)/1000/D68</f>
        <v>0</v>
      </c>
    </row>
    <row r="69" spans="1:42" outlineLevel="1" x14ac:dyDescent="0.3">
      <c r="A69" s="315">
        <v>0</v>
      </c>
      <c r="B69" s="906">
        <f>VLOOKUP(C69,'Vann og Avløp-utslippsfaktorer'!$A$3:$D$82,4,FALSE)</f>
        <v>269</v>
      </c>
      <c r="C69" s="373" t="s">
        <v>22</v>
      </c>
      <c r="D69" s="688">
        <v>1</v>
      </c>
      <c r="E69" s="315">
        <v>0</v>
      </c>
      <c r="F69" s="315">
        <v>100</v>
      </c>
      <c r="G69" s="315">
        <v>0</v>
      </c>
      <c r="H69" s="340">
        <v>0</v>
      </c>
      <c r="I69" s="483" t="s">
        <v>865</v>
      </c>
      <c r="J69" s="360" t="s">
        <v>648</v>
      </c>
      <c r="K69" s="360" t="s">
        <v>871</v>
      </c>
      <c r="L69" s="360" t="s">
        <v>868</v>
      </c>
      <c r="M69" s="473">
        <f>_xlfn.XLOOKUP(I69,'Utslippsfaktorer Transport'!$A$10:$A$19,'Utslippsfaktorer Transport'!$B$10:$B$19)*_xlfn.XLOOKUP(J69,'Utslippsfaktorer Transport'!$A$34:$A$52,'Utslippsfaktorer Transport'!$E$34:$E$52)</f>
        <v>64.47</v>
      </c>
      <c r="N69" s="442">
        <f>_xlfn.XLOOKUP(K69,'Utslippsfaktorer Transport'!$A$27:$A$29,'Utslippsfaktorer Transport'!$F$27:$F$29)</f>
        <v>17.5</v>
      </c>
      <c r="O69" s="902">
        <f>_xlfn.XLOOKUP(L69,'Utslippsfaktorer Transport'!$A$23:$A$25,'Utslippsfaktorer Transport'!$C$23:$C$25)</f>
        <v>0</v>
      </c>
      <c r="T69" s="316"/>
      <c r="AG69" s="373" t="s">
        <v>22</v>
      </c>
      <c r="AH69" s="442">
        <f>E69*F69*_xlfn.XLOOKUP(I69,'Utslippsfaktorer Transport'!$A$9:$A$19,'Utslippsfaktorer Transport'!$B$9:$B$19)*_xlfn.XLOOKUP(J69,'Utslippsfaktorer Transport'!$A$33:$A$52,'Utslippsfaktorer Transport'!$B$33:$B$52)/1000/D69</f>
        <v>0</v>
      </c>
      <c r="AI69" s="442">
        <f>E69*F69*_xlfn.XLOOKUP(I69,'Utslippsfaktorer Transport'!$A$9:$A$19,'Utslippsfaktorer Transport'!$B$9:$B$19)*_xlfn.XLOOKUP(J69,'Utslippsfaktorer Transport'!$A$33:$A$52,'Utslippsfaktorer Transport'!$C$33:$C$52)/1000/D69</f>
        <v>0</v>
      </c>
      <c r="AJ69" s="442">
        <f>E69*F69*_xlfn.XLOOKUP(I69,'Utslippsfaktorer Transport'!$A$9:$A$19,'Utslippsfaktorer Transport'!$B$9:$B$19)*_xlfn.XLOOKUP(J69,'Utslippsfaktorer Transport'!$A$33:$A$52,'Utslippsfaktorer Transport'!$D$33:$D$52)/1000/D69</f>
        <v>0</v>
      </c>
      <c r="AK69" s="904">
        <f>E69*G69*_xlfn.XLOOKUP(K69,'Utslippsfaktorer Transport'!$A$26:$A$29,'Utslippsfaktorer Transport'!$F$26:$F$29)/1000/D69</f>
        <v>0</v>
      </c>
      <c r="AL69" s="904">
        <f>E69*G69*_xlfn.XLOOKUP(K69,'Utslippsfaktorer Transport'!$A$26:$A$29,'Utslippsfaktorer Transport'!$G$26:$G$29)/1000/D69</f>
        <v>0</v>
      </c>
      <c r="AM69" s="904">
        <f>E69*G69*_xlfn.XLOOKUP(K69,'Utslippsfaktorer Transport'!$A$26:$A$29,'Utslippsfaktorer Transport'!$H$26:$H$29)/1000/D69</f>
        <v>0</v>
      </c>
      <c r="AN69" s="442">
        <f>H69*E69*_xlfn.XLOOKUP(L69,'Utslippsfaktorer Transport'!$A$23:$A$25,'Utslippsfaktorer Transport'!$C$23:$C$25)/1000/D69</f>
        <v>0</v>
      </c>
      <c r="AO69" s="442">
        <f>H69*E69*_xlfn.XLOOKUP(L69,'Utslippsfaktorer Transport'!$A$23:$A$25,'Utslippsfaktorer Transport'!$D$23:$D$25)/1000/D69</f>
        <v>0</v>
      </c>
      <c r="AP69" s="902">
        <f>H69*E69*_xlfn.XLOOKUP(L69,'Utslippsfaktorer Transport'!$A$23:$A$25,'Utslippsfaktorer Transport'!$E$23:$E$25)/1000/D69</f>
        <v>0</v>
      </c>
    </row>
    <row r="70" spans="1:42" outlineLevel="1" x14ac:dyDescent="0.3">
      <c r="A70" s="315">
        <v>0</v>
      </c>
      <c r="B70" s="906">
        <f>VLOOKUP(C70,'Vann og Avløp-utslippsfaktorer'!$A$3:$D$82,4,FALSE)</f>
        <v>170</v>
      </c>
      <c r="C70" s="373" t="s">
        <v>21</v>
      </c>
      <c r="D70" s="688">
        <v>1</v>
      </c>
      <c r="E70" s="315">
        <v>0</v>
      </c>
      <c r="F70" s="315">
        <v>100</v>
      </c>
      <c r="G70" s="315">
        <v>0</v>
      </c>
      <c r="H70" s="340">
        <v>0</v>
      </c>
      <c r="I70" s="483" t="s">
        <v>865</v>
      </c>
      <c r="J70" s="360" t="s">
        <v>648</v>
      </c>
      <c r="K70" s="360" t="s">
        <v>871</v>
      </c>
      <c r="L70" s="360" t="s">
        <v>868</v>
      </c>
      <c r="M70" s="473">
        <f>_xlfn.XLOOKUP(I70,'Utslippsfaktorer Transport'!$A$10:$A$19,'Utslippsfaktorer Transport'!$B$10:$B$19)*_xlfn.XLOOKUP(J70,'Utslippsfaktorer Transport'!$A$34:$A$52,'Utslippsfaktorer Transport'!$E$34:$E$52)</f>
        <v>64.47</v>
      </c>
      <c r="N70" s="442">
        <f>_xlfn.XLOOKUP(K70,'Utslippsfaktorer Transport'!$A$27:$A$29,'Utslippsfaktorer Transport'!$F$27:$F$29)</f>
        <v>17.5</v>
      </c>
      <c r="O70" s="902">
        <f>_xlfn.XLOOKUP(L70,'Utslippsfaktorer Transport'!$A$23:$A$25,'Utslippsfaktorer Transport'!$C$23:$C$25)</f>
        <v>0</v>
      </c>
      <c r="T70" s="316"/>
      <c r="AG70" s="373" t="s">
        <v>21</v>
      </c>
      <c r="AH70" s="442">
        <f>E70*F70*_xlfn.XLOOKUP(I70,'Utslippsfaktorer Transport'!$A$9:$A$19,'Utslippsfaktorer Transport'!$B$9:$B$19)*_xlfn.XLOOKUP(J70,'Utslippsfaktorer Transport'!$A$33:$A$52,'Utslippsfaktorer Transport'!$B$33:$B$52)/1000/D70</f>
        <v>0</v>
      </c>
      <c r="AI70" s="442">
        <f>E70*F70*_xlfn.XLOOKUP(I70,'Utslippsfaktorer Transport'!$A$9:$A$19,'Utslippsfaktorer Transport'!$B$9:$B$19)*_xlfn.XLOOKUP(J70,'Utslippsfaktorer Transport'!$A$33:$A$52,'Utslippsfaktorer Transport'!$C$33:$C$52)/1000/D70</f>
        <v>0</v>
      </c>
      <c r="AJ70" s="442">
        <f>E70*F70*_xlfn.XLOOKUP(I70,'Utslippsfaktorer Transport'!$A$9:$A$19,'Utslippsfaktorer Transport'!$B$9:$B$19)*_xlfn.XLOOKUP(J70,'Utslippsfaktorer Transport'!$A$33:$A$52,'Utslippsfaktorer Transport'!$D$33:$D$52)/1000/D70</f>
        <v>0</v>
      </c>
      <c r="AK70" s="904">
        <f>E70*G70*_xlfn.XLOOKUP(K70,'Utslippsfaktorer Transport'!$A$26:$A$29,'Utslippsfaktorer Transport'!$F$26:$F$29)/1000/D70</f>
        <v>0</v>
      </c>
      <c r="AL70" s="904">
        <f>E70*G70*_xlfn.XLOOKUP(K70,'Utslippsfaktorer Transport'!$A$26:$A$29,'Utslippsfaktorer Transport'!$G$26:$G$29)/1000/D70</f>
        <v>0</v>
      </c>
      <c r="AM70" s="904">
        <f>E70*G70*_xlfn.XLOOKUP(K70,'Utslippsfaktorer Transport'!$A$26:$A$29,'Utslippsfaktorer Transport'!$H$26:$H$29)/1000/D70</f>
        <v>0</v>
      </c>
      <c r="AN70" s="442">
        <f>H70*E70*_xlfn.XLOOKUP(L70,'Utslippsfaktorer Transport'!$A$23:$A$25,'Utslippsfaktorer Transport'!$C$23:$C$25)/1000/D70</f>
        <v>0</v>
      </c>
      <c r="AO70" s="442">
        <f>H70*E70*_xlfn.XLOOKUP(L70,'Utslippsfaktorer Transport'!$A$23:$A$25,'Utslippsfaktorer Transport'!$D$23:$D$25)/1000/D70</f>
        <v>0</v>
      </c>
      <c r="AP70" s="902">
        <f>H70*E70*_xlfn.XLOOKUP(L70,'Utslippsfaktorer Transport'!$A$23:$A$25,'Utslippsfaktorer Transport'!$E$23:$E$25)/1000/D70</f>
        <v>0</v>
      </c>
    </row>
    <row r="71" spans="1:42" outlineLevel="1" x14ac:dyDescent="0.3">
      <c r="A71" s="315">
        <v>0</v>
      </c>
      <c r="B71" s="906">
        <f>VLOOKUP(C71,'Vann og Avløp-utslippsfaktorer'!$A$3:$D$82,4,FALSE)</f>
        <v>1000</v>
      </c>
      <c r="C71" s="373" t="s">
        <v>386</v>
      </c>
      <c r="D71" s="688">
        <v>1</v>
      </c>
      <c r="E71" s="315">
        <v>0</v>
      </c>
      <c r="F71" s="315">
        <v>100</v>
      </c>
      <c r="G71" s="315">
        <v>0</v>
      </c>
      <c r="H71" s="340">
        <v>0</v>
      </c>
      <c r="I71" s="483" t="s">
        <v>865</v>
      </c>
      <c r="J71" s="360" t="s">
        <v>648</v>
      </c>
      <c r="K71" s="360" t="s">
        <v>871</v>
      </c>
      <c r="L71" s="360" t="s">
        <v>868</v>
      </c>
      <c r="M71" s="473">
        <f>_xlfn.XLOOKUP(I71,'Utslippsfaktorer Transport'!$A$10:$A$19,'Utslippsfaktorer Transport'!$B$10:$B$19)*_xlfn.XLOOKUP(J71,'Utslippsfaktorer Transport'!$A$34:$A$52,'Utslippsfaktorer Transport'!$E$34:$E$52)</f>
        <v>64.47</v>
      </c>
      <c r="N71" s="442">
        <f>_xlfn.XLOOKUP(K71,'Utslippsfaktorer Transport'!$A$27:$A$29,'Utslippsfaktorer Transport'!$F$27:$F$29)</f>
        <v>17.5</v>
      </c>
      <c r="O71" s="902">
        <f>_xlfn.XLOOKUP(L71,'Utslippsfaktorer Transport'!$A$23:$A$25,'Utslippsfaktorer Transport'!$C$23:$C$25)</f>
        <v>0</v>
      </c>
      <c r="T71" s="316"/>
      <c r="AG71" s="373" t="s">
        <v>386</v>
      </c>
      <c r="AH71" s="442">
        <f>E71*F71*_xlfn.XLOOKUP(I71,'Utslippsfaktorer Transport'!$A$9:$A$19,'Utslippsfaktorer Transport'!$B$9:$B$19)*_xlfn.XLOOKUP(J71,'Utslippsfaktorer Transport'!$A$33:$A$52,'Utslippsfaktorer Transport'!$B$33:$B$52)/1000/D71</f>
        <v>0</v>
      </c>
      <c r="AI71" s="442">
        <f>E71*F71*_xlfn.XLOOKUP(I71,'Utslippsfaktorer Transport'!$A$9:$A$19,'Utslippsfaktorer Transport'!$B$9:$B$19)*_xlfn.XLOOKUP(J71,'Utslippsfaktorer Transport'!$A$33:$A$52,'Utslippsfaktorer Transport'!$C$33:$C$52)/1000/D71</f>
        <v>0</v>
      </c>
      <c r="AJ71" s="442">
        <f>E71*F71*_xlfn.XLOOKUP(I71,'Utslippsfaktorer Transport'!$A$9:$A$19,'Utslippsfaktorer Transport'!$B$9:$B$19)*_xlfn.XLOOKUP(J71,'Utslippsfaktorer Transport'!$A$33:$A$52,'Utslippsfaktorer Transport'!$D$33:$D$52)/1000/D71</f>
        <v>0</v>
      </c>
      <c r="AK71" s="904">
        <f>E71*G71*_xlfn.XLOOKUP(K71,'Utslippsfaktorer Transport'!$A$26:$A$29,'Utslippsfaktorer Transport'!$F$26:$F$29)/1000/D71</f>
        <v>0</v>
      </c>
      <c r="AL71" s="904">
        <f>E71*G71*_xlfn.XLOOKUP(K71,'Utslippsfaktorer Transport'!$A$26:$A$29,'Utslippsfaktorer Transport'!$G$26:$G$29)/1000/D71</f>
        <v>0</v>
      </c>
      <c r="AM71" s="904">
        <f>E71*G71*_xlfn.XLOOKUP(K71,'Utslippsfaktorer Transport'!$A$26:$A$29,'Utslippsfaktorer Transport'!$H$26:$H$29)/1000/D71</f>
        <v>0</v>
      </c>
      <c r="AN71" s="442">
        <f>H71*E71*_xlfn.XLOOKUP(L71,'Utslippsfaktorer Transport'!$A$23:$A$25,'Utslippsfaktorer Transport'!$C$23:$C$25)/1000/D71</f>
        <v>0</v>
      </c>
      <c r="AO71" s="442">
        <f>H71*E71*_xlfn.XLOOKUP(L71,'Utslippsfaktorer Transport'!$A$23:$A$25,'Utslippsfaktorer Transport'!$D$23:$D$25)/1000/D71</f>
        <v>0</v>
      </c>
      <c r="AP71" s="902">
        <f>H71*E71*_xlfn.XLOOKUP(L71,'Utslippsfaktorer Transport'!$A$23:$A$25,'Utslippsfaktorer Transport'!$E$23:$E$25)/1000/D71</f>
        <v>0</v>
      </c>
    </row>
    <row r="72" spans="1:42" outlineLevel="1" x14ac:dyDescent="0.3">
      <c r="A72" s="315">
        <v>0</v>
      </c>
      <c r="B72" s="906">
        <f>VLOOKUP(C72,'Vann og Avløp-utslippsfaktorer'!$A$3:$D$82,4,FALSE)</f>
        <v>1200</v>
      </c>
      <c r="C72" s="373" t="s">
        <v>313</v>
      </c>
      <c r="D72" s="688">
        <v>1</v>
      </c>
      <c r="E72" s="315">
        <v>0</v>
      </c>
      <c r="F72" s="315">
        <v>100</v>
      </c>
      <c r="G72" s="315">
        <v>0</v>
      </c>
      <c r="H72" s="340">
        <v>0</v>
      </c>
      <c r="I72" s="483" t="s">
        <v>865</v>
      </c>
      <c r="J72" s="360" t="s">
        <v>648</v>
      </c>
      <c r="K72" s="360" t="s">
        <v>871</v>
      </c>
      <c r="L72" s="360" t="s">
        <v>868</v>
      </c>
      <c r="M72" s="473">
        <f>_xlfn.XLOOKUP(I72,'Utslippsfaktorer Transport'!$A$10:$A$19,'Utslippsfaktorer Transport'!$B$10:$B$19)*_xlfn.XLOOKUP(J72,'Utslippsfaktorer Transport'!$A$34:$A$52,'Utslippsfaktorer Transport'!$E$34:$E$52)</f>
        <v>64.47</v>
      </c>
      <c r="N72" s="442">
        <f>_xlfn.XLOOKUP(K72,'Utslippsfaktorer Transport'!$A$27:$A$29,'Utslippsfaktorer Transport'!$F$27:$F$29)</f>
        <v>17.5</v>
      </c>
      <c r="O72" s="902">
        <f>_xlfn.XLOOKUP(L72,'Utslippsfaktorer Transport'!$A$23:$A$25,'Utslippsfaktorer Transport'!$C$23:$C$25)</f>
        <v>0</v>
      </c>
      <c r="T72" s="316"/>
      <c r="AG72" s="373" t="s">
        <v>313</v>
      </c>
      <c r="AH72" s="442">
        <f>E72*F72*_xlfn.XLOOKUP(I72,'Utslippsfaktorer Transport'!$A$9:$A$19,'Utslippsfaktorer Transport'!$B$9:$B$19)*_xlfn.XLOOKUP(J72,'Utslippsfaktorer Transport'!$A$33:$A$52,'Utslippsfaktorer Transport'!$B$33:$B$52)/1000/D72</f>
        <v>0</v>
      </c>
      <c r="AI72" s="442">
        <f>E72*F72*_xlfn.XLOOKUP(I72,'Utslippsfaktorer Transport'!$A$9:$A$19,'Utslippsfaktorer Transport'!$B$9:$B$19)*_xlfn.XLOOKUP(J72,'Utslippsfaktorer Transport'!$A$33:$A$52,'Utslippsfaktorer Transport'!$C$33:$C$52)/1000/D72</f>
        <v>0</v>
      </c>
      <c r="AJ72" s="442">
        <f>E72*F72*_xlfn.XLOOKUP(I72,'Utslippsfaktorer Transport'!$A$9:$A$19,'Utslippsfaktorer Transport'!$B$9:$B$19)*_xlfn.XLOOKUP(J72,'Utslippsfaktorer Transport'!$A$33:$A$52,'Utslippsfaktorer Transport'!$D$33:$D$52)/1000/D72</f>
        <v>0</v>
      </c>
      <c r="AK72" s="904">
        <f>E72*G72*_xlfn.XLOOKUP(K72,'Utslippsfaktorer Transport'!$A$26:$A$29,'Utslippsfaktorer Transport'!$F$26:$F$29)/1000/D72</f>
        <v>0</v>
      </c>
      <c r="AL72" s="904">
        <f>E72*G72*_xlfn.XLOOKUP(K72,'Utslippsfaktorer Transport'!$A$26:$A$29,'Utslippsfaktorer Transport'!$G$26:$G$29)/1000/D72</f>
        <v>0</v>
      </c>
      <c r="AM72" s="904">
        <f>E72*G72*_xlfn.XLOOKUP(K72,'Utslippsfaktorer Transport'!$A$26:$A$29,'Utslippsfaktorer Transport'!$H$26:$H$29)/1000/D72</f>
        <v>0</v>
      </c>
      <c r="AN72" s="442">
        <f>H72*E72*_xlfn.XLOOKUP(L72,'Utslippsfaktorer Transport'!$A$23:$A$25,'Utslippsfaktorer Transport'!$C$23:$C$25)/1000/D72</f>
        <v>0</v>
      </c>
      <c r="AO72" s="442">
        <f>H72*E72*_xlfn.XLOOKUP(L72,'Utslippsfaktorer Transport'!$A$23:$A$25,'Utslippsfaktorer Transport'!$D$23:$D$25)/1000/D72</f>
        <v>0</v>
      </c>
      <c r="AP72" s="902">
        <f>H72*E72*_xlfn.XLOOKUP(L72,'Utslippsfaktorer Transport'!$A$23:$A$25,'Utslippsfaktorer Transport'!$E$23:$E$25)/1000/D72</f>
        <v>0</v>
      </c>
    </row>
    <row r="73" spans="1:42" outlineLevel="1" x14ac:dyDescent="0.3">
      <c r="A73" s="315">
        <v>0</v>
      </c>
      <c r="B73" s="906">
        <f>VLOOKUP(C73,'Vann og Avløp-utslippsfaktorer'!$A$3:$D$82,4,FALSE)</f>
        <v>119</v>
      </c>
      <c r="C73" s="373" t="s">
        <v>299</v>
      </c>
      <c r="D73" s="688">
        <v>1</v>
      </c>
      <c r="E73" s="315">
        <v>0</v>
      </c>
      <c r="F73" s="315">
        <v>100</v>
      </c>
      <c r="G73" s="315">
        <v>0</v>
      </c>
      <c r="H73" s="340">
        <v>0</v>
      </c>
      <c r="I73" s="483" t="s">
        <v>865</v>
      </c>
      <c r="J73" s="360" t="s">
        <v>648</v>
      </c>
      <c r="K73" s="360" t="s">
        <v>871</v>
      </c>
      <c r="L73" s="360" t="s">
        <v>868</v>
      </c>
      <c r="M73" s="473">
        <f>_xlfn.XLOOKUP(I73,'Utslippsfaktorer Transport'!$A$10:$A$19,'Utslippsfaktorer Transport'!$B$10:$B$19)*_xlfn.XLOOKUP(J73,'Utslippsfaktorer Transport'!$A$34:$A$52,'Utslippsfaktorer Transport'!$E$34:$E$52)</f>
        <v>64.47</v>
      </c>
      <c r="N73" s="442">
        <f>_xlfn.XLOOKUP(K73,'Utslippsfaktorer Transport'!$A$27:$A$29,'Utslippsfaktorer Transport'!$F$27:$F$29)</f>
        <v>17.5</v>
      </c>
      <c r="O73" s="902">
        <f>_xlfn.XLOOKUP(L73,'Utslippsfaktorer Transport'!$A$23:$A$25,'Utslippsfaktorer Transport'!$C$23:$C$25)</f>
        <v>0</v>
      </c>
      <c r="T73" s="316"/>
      <c r="AG73" s="373" t="s">
        <v>299</v>
      </c>
      <c r="AH73" s="442">
        <f>E73*F73*_xlfn.XLOOKUP(I73,'Utslippsfaktorer Transport'!$A$9:$A$19,'Utslippsfaktorer Transport'!$B$9:$B$19)*_xlfn.XLOOKUP(J73,'Utslippsfaktorer Transport'!$A$33:$A$52,'Utslippsfaktorer Transport'!$B$33:$B$52)/1000/D73</f>
        <v>0</v>
      </c>
      <c r="AI73" s="442">
        <f>E73*F73*_xlfn.XLOOKUP(I73,'Utslippsfaktorer Transport'!$A$9:$A$19,'Utslippsfaktorer Transport'!$B$9:$B$19)*_xlfn.XLOOKUP(J73,'Utslippsfaktorer Transport'!$A$33:$A$52,'Utslippsfaktorer Transport'!$C$33:$C$52)/1000/D73</f>
        <v>0</v>
      </c>
      <c r="AJ73" s="442">
        <f>E73*F73*_xlfn.XLOOKUP(I73,'Utslippsfaktorer Transport'!$A$9:$A$19,'Utslippsfaktorer Transport'!$B$9:$B$19)*_xlfn.XLOOKUP(J73,'Utslippsfaktorer Transport'!$A$33:$A$52,'Utslippsfaktorer Transport'!$D$33:$D$52)/1000/D73</f>
        <v>0</v>
      </c>
      <c r="AK73" s="904">
        <f>E73*G73*_xlfn.XLOOKUP(K73,'Utslippsfaktorer Transport'!$A$26:$A$29,'Utslippsfaktorer Transport'!$F$26:$F$29)/1000/D73</f>
        <v>0</v>
      </c>
      <c r="AL73" s="904">
        <f>E73*G73*_xlfn.XLOOKUP(K73,'Utslippsfaktorer Transport'!$A$26:$A$29,'Utslippsfaktorer Transport'!$G$26:$G$29)/1000/D73</f>
        <v>0</v>
      </c>
      <c r="AM73" s="904">
        <f>E73*G73*_xlfn.XLOOKUP(K73,'Utslippsfaktorer Transport'!$A$26:$A$29,'Utslippsfaktorer Transport'!$H$26:$H$29)/1000/D73</f>
        <v>0</v>
      </c>
      <c r="AN73" s="442">
        <f>H73*E73*_xlfn.XLOOKUP(L73,'Utslippsfaktorer Transport'!$A$23:$A$25,'Utslippsfaktorer Transport'!$C$23:$C$25)/1000/D73</f>
        <v>0</v>
      </c>
      <c r="AO73" s="442">
        <f>H73*E73*_xlfn.XLOOKUP(L73,'Utslippsfaktorer Transport'!$A$23:$A$25,'Utslippsfaktorer Transport'!$D$23:$D$25)/1000/D73</f>
        <v>0</v>
      </c>
      <c r="AP73" s="902">
        <f>H73*E73*_xlfn.XLOOKUP(L73,'Utslippsfaktorer Transport'!$A$23:$A$25,'Utslippsfaktorer Transport'!$E$23:$E$25)/1000/D73</f>
        <v>0</v>
      </c>
    </row>
    <row r="74" spans="1:42" outlineLevel="1" x14ac:dyDescent="0.3">
      <c r="A74" s="315">
        <v>0</v>
      </c>
      <c r="B74" s="906">
        <f>VLOOKUP(C74,'Vann og Avløp-utslippsfaktorer'!$A$3:$D$82,4,FALSE)</f>
        <v>1310</v>
      </c>
      <c r="C74" s="373" t="s">
        <v>500</v>
      </c>
      <c r="D74" s="688">
        <v>1</v>
      </c>
      <c r="E74" s="315">
        <v>0</v>
      </c>
      <c r="F74" s="315">
        <v>100</v>
      </c>
      <c r="G74" s="315">
        <v>0</v>
      </c>
      <c r="H74" s="340">
        <v>0</v>
      </c>
      <c r="I74" s="483" t="s">
        <v>865</v>
      </c>
      <c r="J74" s="360" t="s">
        <v>648</v>
      </c>
      <c r="K74" s="360" t="s">
        <v>871</v>
      </c>
      <c r="L74" s="360" t="s">
        <v>868</v>
      </c>
      <c r="M74" s="473">
        <f>_xlfn.XLOOKUP(I74,'Utslippsfaktorer Transport'!$A$10:$A$19,'Utslippsfaktorer Transport'!$B$10:$B$19)*_xlfn.XLOOKUP(J74,'Utslippsfaktorer Transport'!$A$34:$A$52,'Utslippsfaktorer Transport'!$E$34:$E$52)</f>
        <v>64.47</v>
      </c>
      <c r="N74" s="442">
        <f>_xlfn.XLOOKUP(K74,'Utslippsfaktorer Transport'!$A$27:$A$29,'Utslippsfaktorer Transport'!$F$27:$F$29)</f>
        <v>17.5</v>
      </c>
      <c r="O74" s="902">
        <f>_xlfn.XLOOKUP(L74,'Utslippsfaktorer Transport'!$A$23:$A$25,'Utslippsfaktorer Transport'!$C$23:$C$25)</f>
        <v>0</v>
      </c>
      <c r="T74" s="316"/>
      <c r="AG74" s="373" t="s">
        <v>500</v>
      </c>
      <c r="AH74" s="442">
        <f>E74*F74*_xlfn.XLOOKUP(I74,'Utslippsfaktorer Transport'!$A$9:$A$19,'Utslippsfaktorer Transport'!$B$9:$B$19)*_xlfn.XLOOKUP(J74,'Utslippsfaktorer Transport'!$A$33:$A$52,'Utslippsfaktorer Transport'!$B$33:$B$52)/1000/D74</f>
        <v>0</v>
      </c>
      <c r="AI74" s="442">
        <f>E74*F74*_xlfn.XLOOKUP(I74,'Utslippsfaktorer Transport'!$A$9:$A$19,'Utslippsfaktorer Transport'!$B$9:$B$19)*_xlfn.XLOOKUP(J74,'Utslippsfaktorer Transport'!$A$33:$A$52,'Utslippsfaktorer Transport'!$C$33:$C$52)/1000/D74</f>
        <v>0</v>
      </c>
      <c r="AJ74" s="442">
        <f>E74*F74*_xlfn.XLOOKUP(I74,'Utslippsfaktorer Transport'!$A$9:$A$19,'Utslippsfaktorer Transport'!$B$9:$B$19)*_xlfn.XLOOKUP(J74,'Utslippsfaktorer Transport'!$A$33:$A$52,'Utslippsfaktorer Transport'!$D$33:$D$52)/1000/D74</f>
        <v>0</v>
      </c>
      <c r="AK74" s="904">
        <f>E74*G74*_xlfn.XLOOKUP(K74,'Utslippsfaktorer Transport'!$A$26:$A$29,'Utslippsfaktorer Transport'!$F$26:$F$29)/1000/D74</f>
        <v>0</v>
      </c>
      <c r="AL74" s="904">
        <f>E74*G74*_xlfn.XLOOKUP(K74,'Utslippsfaktorer Transport'!$A$26:$A$29,'Utslippsfaktorer Transport'!$G$26:$G$29)/1000/D74</f>
        <v>0</v>
      </c>
      <c r="AM74" s="904">
        <f>E74*G74*_xlfn.XLOOKUP(K74,'Utslippsfaktorer Transport'!$A$26:$A$29,'Utslippsfaktorer Transport'!$H$26:$H$29)/1000/D74</f>
        <v>0</v>
      </c>
      <c r="AN74" s="442">
        <f>H74*E74*_xlfn.XLOOKUP(L74,'Utslippsfaktorer Transport'!$A$23:$A$25,'Utslippsfaktorer Transport'!$C$23:$C$25)/1000/D74</f>
        <v>0</v>
      </c>
      <c r="AO74" s="442">
        <f>H74*E74*_xlfn.XLOOKUP(L74,'Utslippsfaktorer Transport'!$A$23:$A$25,'Utslippsfaktorer Transport'!$D$23:$D$25)/1000/D74</f>
        <v>0</v>
      </c>
      <c r="AP74" s="902">
        <f>H74*E74*_xlfn.XLOOKUP(L74,'Utslippsfaktorer Transport'!$A$23:$A$25,'Utslippsfaktorer Transport'!$E$23:$E$25)/1000/D74</f>
        <v>0</v>
      </c>
    </row>
    <row r="75" spans="1:42" outlineLevel="1" x14ac:dyDescent="0.3">
      <c r="A75" s="315">
        <v>0</v>
      </c>
      <c r="B75" s="906">
        <f>VLOOKUP(C75,'Vann og Avløp-utslippsfaktorer'!$A$3:$D$82,4,FALSE)</f>
        <v>780</v>
      </c>
      <c r="C75" s="373" t="s">
        <v>566</v>
      </c>
      <c r="D75" s="688">
        <v>1</v>
      </c>
      <c r="E75" s="315">
        <v>0</v>
      </c>
      <c r="F75" s="315">
        <v>100</v>
      </c>
      <c r="G75" s="315">
        <v>0</v>
      </c>
      <c r="H75" s="340">
        <v>0</v>
      </c>
      <c r="I75" s="483" t="s">
        <v>865</v>
      </c>
      <c r="J75" s="360" t="s">
        <v>648</v>
      </c>
      <c r="K75" s="360" t="s">
        <v>871</v>
      </c>
      <c r="L75" s="360" t="s">
        <v>868</v>
      </c>
      <c r="M75" s="473">
        <f>_xlfn.XLOOKUP(I75,'Utslippsfaktorer Transport'!$A$10:$A$19,'Utslippsfaktorer Transport'!$B$10:$B$19)*_xlfn.XLOOKUP(J75,'Utslippsfaktorer Transport'!$A$34:$A$52,'Utslippsfaktorer Transport'!$E$34:$E$52)</f>
        <v>64.47</v>
      </c>
      <c r="N75" s="442">
        <f>_xlfn.XLOOKUP(K75,'Utslippsfaktorer Transport'!$A$27:$A$29,'Utslippsfaktorer Transport'!$F$27:$F$29)</f>
        <v>17.5</v>
      </c>
      <c r="O75" s="902">
        <f>_xlfn.XLOOKUP(L75,'Utslippsfaktorer Transport'!$A$23:$A$25,'Utslippsfaktorer Transport'!$C$23:$C$25)</f>
        <v>0</v>
      </c>
      <c r="T75" s="316"/>
      <c r="AG75" s="373" t="s">
        <v>566</v>
      </c>
      <c r="AH75" s="442">
        <f>E75*F75*_xlfn.XLOOKUP(I75,'Utslippsfaktorer Transport'!$A$9:$A$19,'Utslippsfaktorer Transport'!$B$9:$B$19)*_xlfn.XLOOKUP(J75,'Utslippsfaktorer Transport'!$A$33:$A$52,'Utslippsfaktorer Transport'!$B$33:$B$52)/1000/D75</f>
        <v>0</v>
      </c>
      <c r="AI75" s="442">
        <f>E75*F75*_xlfn.XLOOKUP(I75,'Utslippsfaktorer Transport'!$A$9:$A$19,'Utslippsfaktorer Transport'!$B$9:$B$19)*_xlfn.XLOOKUP(J75,'Utslippsfaktorer Transport'!$A$33:$A$52,'Utslippsfaktorer Transport'!$C$33:$C$52)/1000/D75</f>
        <v>0</v>
      </c>
      <c r="AJ75" s="442">
        <f>E75*F75*_xlfn.XLOOKUP(I75,'Utslippsfaktorer Transport'!$A$9:$A$19,'Utslippsfaktorer Transport'!$B$9:$B$19)*_xlfn.XLOOKUP(J75,'Utslippsfaktorer Transport'!$A$33:$A$52,'Utslippsfaktorer Transport'!$D$33:$D$52)/1000/D75</f>
        <v>0</v>
      </c>
      <c r="AK75" s="904">
        <f>E75*G75*_xlfn.XLOOKUP(K75,'Utslippsfaktorer Transport'!$A$26:$A$29,'Utslippsfaktorer Transport'!$F$26:$F$29)/1000/D75</f>
        <v>0</v>
      </c>
      <c r="AL75" s="904">
        <f>E75*G75*_xlfn.XLOOKUP(K75,'Utslippsfaktorer Transport'!$A$26:$A$29,'Utslippsfaktorer Transport'!$G$26:$G$29)/1000/D75</f>
        <v>0</v>
      </c>
      <c r="AM75" s="904">
        <f>E75*G75*_xlfn.XLOOKUP(K75,'Utslippsfaktorer Transport'!$A$26:$A$29,'Utslippsfaktorer Transport'!$H$26:$H$29)/1000/D75</f>
        <v>0</v>
      </c>
      <c r="AN75" s="442">
        <f>H75*E75*_xlfn.XLOOKUP(L75,'Utslippsfaktorer Transport'!$A$23:$A$25,'Utslippsfaktorer Transport'!$C$23:$C$25)/1000/D75</f>
        <v>0</v>
      </c>
      <c r="AO75" s="442">
        <f>H75*E75*_xlfn.XLOOKUP(L75,'Utslippsfaktorer Transport'!$A$23:$A$25,'Utslippsfaktorer Transport'!$D$23:$D$25)/1000/D75</f>
        <v>0</v>
      </c>
      <c r="AP75" s="902">
        <f>H75*E75*_xlfn.XLOOKUP(L75,'Utslippsfaktorer Transport'!$A$23:$A$25,'Utslippsfaktorer Transport'!$E$23:$E$25)/1000/D75</f>
        <v>0</v>
      </c>
    </row>
    <row r="76" spans="1:42" outlineLevel="1" x14ac:dyDescent="0.3">
      <c r="A76" s="315">
        <v>0</v>
      </c>
      <c r="B76" s="906">
        <f>VLOOKUP(C76,'Vann og Avløp-utslippsfaktorer'!$A$3:$D$82,4,FALSE)</f>
        <v>4160</v>
      </c>
      <c r="C76" s="373" t="s">
        <v>286</v>
      </c>
      <c r="D76" s="688">
        <v>1</v>
      </c>
      <c r="E76" s="315">
        <v>0</v>
      </c>
      <c r="F76" s="315">
        <v>100</v>
      </c>
      <c r="G76" s="315">
        <v>0</v>
      </c>
      <c r="H76" s="340">
        <v>0</v>
      </c>
      <c r="I76" s="483" t="s">
        <v>865</v>
      </c>
      <c r="J76" s="360" t="s">
        <v>648</v>
      </c>
      <c r="K76" s="360" t="s">
        <v>871</v>
      </c>
      <c r="L76" s="360" t="s">
        <v>868</v>
      </c>
      <c r="M76" s="473">
        <f>_xlfn.XLOOKUP(I76,'Utslippsfaktorer Transport'!$A$10:$A$19,'Utslippsfaktorer Transport'!$B$10:$B$19)*_xlfn.XLOOKUP(J76,'Utslippsfaktorer Transport'!$A$34:$A$52,'Utslippsfaktorer Transport'!$E$34:$E$52)</f>
        <v>64.47</v>
      </c>
      <c r="N76" s="442">
        <f>_xlfn.XLOOKUP(K76,'Utslippsfaktorer Transport'!$A$27:$A$29,'Utslippsfaktorer Transport'!$F$27:$F$29)</f>
        <v>17.5</v>
      </c>
      <c r="O76" s="902">
        <f>_xlfn.XLOOKUP(L76,'Utslippsfaktorer Transport'!$A$23:$A$25,'Utslippsfaktorer Transport'!$C$23:$C$25)</f>
        <v>0</v>
      </c>
      <c r="T76" s="316"/>
      <c r="AG76" s="373" t="s">
        <v>286</v>
      </c>
      <c r="AH76" s="442">
        <f>E76*F76*_xlfn.XLOOKUP(I76,'Utslippsfaktorer Transport'!$A$9:$A$19,'Utslippsfaktorer Transport'!$B$9:$B$19)*_xlfn.XLOOKUP(J76,'Utslippsfaktorer Transport'!$A$33:$A$52,'Utslippsfaktorer Transport'!$B$33:$B$52)/1000/D76</f>
        <v>0</v>
      </c>
      <c r="AI76" s="442">
        <f>E76*F76*_xlfn.XLOOKUP(I76,'Utslippsfaktorer Transport'!$A$9:$A$19,'Utslippsfaktorer Transport'!$B$9:$B$19)*_xlfn.XLOOKUP(J76,'Utslippsfaktorer Transport'!$A$33:$A$52,'Utslippsfaktorer Transport'!$C$33:$C$52)/1000/D76</f>
        <v>0</v>
      </c>
      <c r="AJ76" s="442">
        <f>E76*F76*_xlfn.XLOOKUP(I76,'Utslippsfaktorer Transport'!$A$9:$A$19,'Utslippsfaktorer Transport'!$B$9:$B$19)*_xlfn.XLOOKUP(J76,'Utslippsfaktorer Transport'!$A$33:$A$52,'Utslippsfaktorer Transport'!$D$33:$D$52)/1000/D76</f>
        <v>0</v>
      </c>
      <c r="AK76" s="904">
        <f>E76*G76*_xlfn.XLOOKUP(K76,'Utslippsfaktorer Transport'!$A$26:$A$29,'Utslippsfaktorer Transport'!$F$26:$F$29)/1000/D76</f>
        <v>0</v>
      </c>
      <c r="AL76" s="904">
        <f>E76*G76*_xlfn.XLOOKUP(K76,'Utslippsfaktorer Transport'!$A$26:$A$29,'Utslippsfaktorer Transport'!$G$26:$G$29)/1000/D76</f>
        <v>0</v>
      </c>
      <c r="AM76" s="904">
        <f>E76*G76*_xlfn.XLOOKUP(K76,'Utslippsfaktorer Transport'!$A$26:$A$29,'Utslippsfaktorer Transport'!$H$26:$H$29)/1000/D76</f>
        <v>0</v>
      </c>
      <c r="AN76" s="442">
        <f>H76*E76*_xlfn.XLOOKUP(L76,'Utslippsfaktorer Transport'!$A$23:$A$25,'Utslippsfaktorer Transport'!$C$23:$C$25)/1000/D76</f>
        <v>0</v>
      </c>
      <c r="AO76" s="442">
        <f>H76*E76*_xlfn.XLOOKUP(L76,'Utslippsfaktorer Transport'!$A$23:$A$25,'Utslippsfaktorer Transport'!$D$23:$D$25)/1000/D76</f>
        <v>0</v>
      </c>
      <c r="AP76" s="902">
        <f>H76*E76*_xlfn.XLOOKUP(L76,'Utslippsfaktorer Transport'!$A$23:$A$25,'Utslippsfaktorer Transport'!$E$23:$E$25)/1000/D76</f>
        <v>0</v>
      </c>
    </row>
    <row r="77" spans="1:42" outlineLevel="1" x14ac:dyDescent="0.3">
      <c r="A77" s="315">
        <v>0</v>
      </c>
      <c r="B77" s="906">
        <f>VLOOKUP(C77,'Vann og Avløp-utslippsfaktorer'!$A$3:$D$82,4,FALSE)</f>
        <v>506.38297872340428</v>
      </c>
      <c r="C77" s="373" t="s">
        <v>975</v>
      </c>
      <c r="D77" s="688">
        <v>1</v>
      </c>
      <c r="E77" s="315">
        <v>0</v>
      </c>
      <c r="F77" s="315">
        <v>100</v>
      </c>
      <c r="G77" s="315">
        <v>0</v>
      </c>
      <c r="H77" s="340">
        <v>0</v>
      </c>
      <c r="I77" s="483" t="s">
        <v>865</v>
      </c>
      <c r="J77" s="360" t="s">
        <v>648</v>
      </c>
      <c r="K77" s="360" t="s">
        <v>871</v>
      </c>
      <c r="L77" s="360" t="s">
        <v>868</v>
      </c>
      <c r="M77" s="473">
        <f>_xlfn.XLOOKUP(I77,'Utslippsfaktorer Transport'!$A$10:$A$19,'Utslippsfaktorer Transport'!$B$10:$B$19)*_xlfn.XLOOKUP(J77,'Utslippsfaktorer Transport'!$A$34:$A$52,'Utslippsfaktorer Transport'!$E$34:$E$52)</f>
        <v>64.47</v>
      </c>
      <c r="N77" s="442">
        <f>_xlfn.XLOOKUP(K77,'Utslippsfaktorer Transport'!$A$27:$A$29,'Utslippsfaktorer Transport'!$F$27:$F$29)</f>
        <v>17.5</v>
      </c>
      <c r="O77" s="902">
        <f>_xlfn.XLOOKUP(L77,'Utslippsfaktorer Transport'!$A$23:$A$25,'Utslippsfaktorer Transport'!$C$23:$C$25)</f>
        <v>0</v>
      </c>
      <c r="T77" s="316"/>
      <c r="AG77" s="373" t="s">
        <v>975</v>
      </c>
      <c r="AH77" s="442">
        <f>E77*F77*_xlfn.XLOOKUP(I77,'Utslippsfaktorer Transport'!$A$9:$A$19,'Utslippsfaktorer Transport'!$B$9:$B$19)*_xlfn.XLOOKUP(J77,'Utslippsfaktorer Transport'!$A$33:$A$52,'Utslippsfaktorer Transport'!$B$33:$B$52)/1000/D77</f>
        <v>0</v>
      </c>
      <c r="AI77" s="442">
        <f>E77*F77*_xlfn.XLOOKUP(I77,'Utslippsfaktorer Transport'!$A$9:$A$19,'Utslippsfaktorer Transport'!$B$9:$B$19)*_xlfn.XLOOKUP(J77,'Utslippsfaktorer Transport'!$A$33:$A$52,'Utslippsfaktorer Transport'!$C$33:$C$52)/1000/D77</f>
        <v>0</v>
      </c>
      <c r="AJ77" s="442">
        <f>E77*F77*_xlfn.XLOOKUP(I77,'Utslippsfaktorer Transport'!$A$9:$A$19,'Utslippsfaktorer Transport'!$B$9:$B$19)*_xlfn.XLOOKUP(J77,'Utslippsfaktorer Transport'!$A$33:$A$52,'Utslippsfaktorer Transport'!$D$33:$D$52)/1000/D77</f>
        <v>0</v>
      </c>
      <c r="AK77" s="904">
        <f>E77*G77*_xlfn.XLOOKUP(K77,'Utslippsfaktorer Transport'!$A$26:$A$29,'Utslippsfaktorer Transport'!$F$26:$F$29)/1000/D77</f>
        <v>0</v>
      </c>
      <c r="AL77" s="904">
        <f>E77*G77*_xlfn.XLOOKUP(K77,'Utslippsfaktorer Transport'!$A$26:$A$29,'Utslippsfaktorer Transport'!$G$26:$G$29)/1000/D77</f>
        <v>0</v>
      </c>
      <c r="AM77" s="904">
        <f>E77*G77*_xlfn.XLOOKUP(K77,'Utslippsfaktorer Transport'!$A$26:$A$29,'Utslippsfaktorer Transport'!$H$26:$H$29)/1000/D77</f>
        <v>0</v>
      </c>
      <c r="AN77" s="442">
        <f>H77*E77*_xlfn.XLOOKUP(L77,'Utslippsfaktorer Transport'!$A$23:$A$25,'Utslippsfaktorer Transport'!$C$23:$C$25)/1000/D77</f>
        <v>0</v>
      </c>
      <c r="AO77" s="442">
        <f>H77*E77*_xlfn.XLOOKUP(L77,'Utslippsfaktorer Transport'!$A$23:$A$25,'Utslippsfaktorer Transport'!$D$23:$D$25)/1000/D77</f>
        <v>0</v>
      </c>
      <c r="AP77" s="902">
        <f>H77*E77*_xlfn.XLOOKUP(L77,'Utslippsfaktorer Transport'!$A$23:$A$25,'Utslippsfaktorer Transport'!$E$23:$E$25)/1000/D77</f>
        <v>0</v>
      </c>
    </row>
    <row r="78" spans="1:42" outlineLevel="1" x14ac:dyDescent="0.3">
      <c r="A78" s="315">
        <v>0</v>
      </c>
      <c r="B78" s="906">
        <f>VLOOKUP(C78,'Vann og Avløp-utslippsfaktorer'!$A$3:$D$82,4,FALSE)</f>
        <v>2420</v>
      </c>
      <c r="C78" s="373" t="s">
        <v>302</v>
      </c>
      <c r="D78" s="688">
        <v>1</v>
      </c>
      <c r="E78" s="315">
        <v>0</v>
      </c>
      <c r="F78" s="315">
        <v>100</v>
      </c>
      <c r="G78" s="315">
        <v>0</v>
      </c>
      <c r="H78" s="340">
        <v>0</v>
      </c>
      <c r="I78" s="483" t="s">
        <v>865</v>
      </c>
      <c r="J78" s="360" t="s">
        <v>648</v>
      </c>
      <c r="K78" s="360" t="s">
        <v>871</v>
      </c>
      <c r="L78" s="360" t="s">
        <v>868</v>
      </c>
      <c r="M78" s="473">
        <f>_xlfn.XLOOKUP(I78,'Utslippsfaktorer Transport'!$A$10:$A$19,'Utslippsfaktorer Transport'!$B$10:$B$19)*_xlfn.XLOOKUP(J78,'Utslippsfaktorer Transport'!$A$34:$A$52,'Utslippsfaktorer Transport'!$E$34:$E$52)</f>
        <v>64.47</v>
      </c>
      <c r="N78" s="442">
        <f>_xlfn.XLOOKUP(K78,'Utslippsfaktorer Transport'!$A$27:$A$29,'Utslippsfaktorer Transport'!$F$27:$F$29)</f>
        <v>17.5</v>
      </c>
      <c r="O78" s="902">
        <f>_xlfn.XLOOKUP(L78,'Utslippsfaktorer Transport'!$A$23:$A$25,'Utslippsfaktorer Transport'!$C$23:$C$25)</f>
        <v>0</v>
      </c>
      <c r="T78" s="316"/>
      <c r="AG78" s="373" t="s">
        <v>302</v>
      </c>
      <c r="AH78" s="442">
        <f>E78*F78*_xlfn.XLOOKUP(I78,'Utslippsfaktorer Transport'!$A$9:$A$19,'Utslippsfaktorer Transport'!$B$9:$B$19)*_xlfn.XLOOKUP(J78,'Utslippsfaktorer Transport'!$A$33:$A$52,'Utslippsfaktorer Transport'!$B$33:$B$52)/1000/D78</f>
        <v>0</v>
      </c>
      <c r="AI78" s="442">
        <f>E78*F78*_xlfn.XLOOKUP(I78,'Utslippsfaktorer Transport'!$A$9:$A$19,'Utslippsfaktorer Transport'!$B$9:$B$19)*_xlfn.XLOOKUP(J78,'Utslippsfaktorer Transport'!$A$33:$A$52,'Utslippsfaktorer Transport'!$C$33:$C$52)/1000/D78</f>
        <v>0</v>
      </c>
      <c r="AJ78" s="442">
        <f>E78*F78*_xlfn.XLOOKUP(I78,'Utslippsfaktorer Transport'!$A$9:$A$19,'Utslippsfaktorer Transport'!$B$9:$B$19)*_xlfn.XLOOKUP(J78,'Utslippsfaktorer Transport'!$A$33:$A$52,'Utslippsfaktorer Transport'!$D$33:$D$52)/1000/D78</f>
        <v>0</v>
      </c>
      <c r="AK78" s="904">
        <f>E78*G78*_xlfn.XLOOKUP(K78,'Utslippsfaktorer Transport'!$A$26:$A$29,'Utslippsfaktorer Transport'!$F$26:$F$29)/1000/D78</f>
        <v>0</v>
      </c>
      <c r="AL78" s="904">
        <f>E78*G78*_xlfn.XLOOKUP(K78,'Utslippsfaktorer Transport'!$A$26:$A$29,'Utslippsfaktorer Transport'!$G$26:$G$29)/1000/D78</f>
        <v>0</v>
      </c>
      <c r="AM78" s="904">
        <f>E78*G78*_xlfn.XLOOKUP(K78,'Utslippsfaktorer Transport'!$A$26:$A$29,'Utslippsfaktorer Transport'!$H$26:$H$29)/1000/D78</f>
        <v>0</v>
      </c>
      <c r="AN78" s="442">
        <f>H78*E78*_xlfn.XLOOKUP(L78,'Utslippsfaktorer Transport'!$A$23:$A$25,'Utslippsfaktorer Transport'!$C$23:$C$25)/1000/D78</f>
        <v>0</v>
      </c>
      <c r="AO78" s="442">
        <f>H78*E78*_xlfn.XLOOKUP(L78,'Utslippsfaktorer Transport'!$A$23:$A$25,'Utslippsfaktorer Transport'!$D$23:$D$25)/1000/D78</f>
        <v>0</v>
      </c>
      <c r="AP78" s="902">
        <f>H78*E78*_xlfn.XLOOKUP(L78,'Utslippsfaktorer Transport'!$A$23:$A$25,'Utslippsfaktorer Transport'!$E$23:$E$25)/1000/D78</f>
        <v>0</v>
      </c>
    </row>
    <row r="79" spans="1:42" outlineLevel="1" x14ac:dyDescent="0.3">
      <c r="A79" s="315">
        <v>0</v>
      </c>
      <c r="B79" s="906">
        <f>VLOOKUP(C79,'Vann og Avløp-utslippsfaktorer'!$A$3:$D$939,4,FALSE)</f>
        <v>2100</v>
      </c>
      <c r="C79" s="373" t="s">
        <v>23</v>
      </c>
      <c r="D79" s="688">
        <v>1</v>
      </c>
      <c r="E79" s="315">
        <v>0</v>
      </c>
      <c r="F79" s="315">
        <v>100</v>
      </c>
      <c r="G79" s="315">
        <v>0</v>
      </c>
      <c r="H79" s="340">
        <v>0</v>
      </c>
      <c r="I79" s="483" t="s">
        <v>865</v>
      </c>
      <c r="J79" s="360" t="s">
        <v>648</v>
      </c>
      <c r="K79" s="360" t="s">
        <v>871</v>
      </c>
      <c r="L79" s="360" t="s">
        <v>868</v>
      </c>
      <c r="M79" s="473">
        <f>_xlfn.XLOOKUP(I79,'Utslippsfaktorer Transport'!$A$10:$A$19,'Utslippsfaktorer Transport'!$B$10:$B$19)*_xlfn.XLOOKUP(J79,'Utslippsfaktorer Transport'!$A$34:$A$52,'Utslippsfaktorer Transport'!$E$34:$E$52)</f>
        <v>64.47</v>
      </c>
      <c r="N79" s="442">
        <f>_xlfn.XLOOKUP(K79,'Utslippsfaktorer Transport'!$A$27:$A$29,'Utslippsfaktorer Transport'!$F$27:$F$29)</f>
        <v>17.5</v>
      </c>
      <c r="O79" s="902">
        <f>_xlfn.XLOOKUP(L79,'Utslippsfaktorer Transport'!$A$23:$A$25,'Utslippsfaktorer Transport'!$C$23:$C$25)</f>
        <v>0</v>
      </c>
      <c r="T79" s="316"/>
      <c r="AG79" s="373" t="s">
        <v>23</v>
      </c>
      <c r="AH79" s="442">
        <f>E79*F79*_xlfn.XLOOKUP(I79,'Utslippsfaktorer Transport'!$A$9:$A$19,'Utslippsfaktorer Transport'!$B$9:$B$19)*_xlfn.XLOOKUP(J79,'Utslippsfaktorer Transport'!$A$33:$A$52,'Utslippsfaktorer Transport'!$B$33:$B$52)/1000/D79</f>
        <v>0</v>
      </c>
      <c r="AI79" s="442">
        <f>E79*F79*_xlfn.XLOOKUP(I79,'Utslippsfaktorer Transport'!$A$9:$A$19,'Utslippsfaktorer Transport'!$B$9:$B$19)*_xlfn.XLOOKUP(J79,'Utslippsfaktorer Transport'!$A$33:$A$52,'Utslippsfaktorer Transport'!$C$33:$C$52)/1000/D79</f>
        <v>0</v>
      </c>
      <c r="AJ79" s="442">
        <f>E79*F79*_xlfn.XLOOKUP(I79,'Utslippsfaktorer Transport'!$A$9:$A$19,'Utslippsfaktorer Transport'!$B$9:$B$19)*_xlfn.XLOOKUP(J79,'Utslippsfaktorer Transport'!$A$33:$A$52,'Utslippsfaktorer Transport'!$D$33:$D$52)/1000/D79</f>
        <v>0</v>
      </c>
      <c r="AK79" s="904">
        <f>E79*G79*_xlfn.XLOOKUP(K79,'Utslippsfaktorer Transport'!$A$26:$A$29,'Utslippsfaktorer Transport'!$F$26:$F$29)/1000/D79</f>
        <v>0</v>
      </c>
      <c r="AL79" s="904">
        <f>E79*G79*_xlfn.XLOOKUP(K79,'Utslippsfaktorer Transport'!$A$26:$A$29,'Utslippsfaktorer Transport'!$G$26:$G$29)/1000/D79</f>
        <v>0</v>
      </c>
      <c r="AM79" s="904">
        <f>E79*G79*_xlfn.XLOOKUP(K79,'Utslippsfaktorer Transport'!$A$26:$A$29,'Utslippsfaktorer Transport'!$H$26:$H$29)/1000/D79</f>
        <v>0</v>
      </c>
      <c r="AN79" s="442">
        <f>H79*E79*_xlfn.XLOOKUP(L79,'Utslippsfaktorer Transport'!$A$23:$A$25,'Utslippsfaktorer Transport'!$C$23:$C$25)/1000/D79</f>
        <v>0</v>
      </c>
      <c r="AO79" s="442">
        <f>H79*E79*_xlfn.XLOOKUP(L79,'Utslippsfaktorer Transport'!$A$23:$A$25,'Utslippsfaktorer Transport'!$D$23:$D$25)/1000/D79</f>
        <v>0</v>
      </c>
      <c r="AP79" s="902">
        <f>H79*E79*_xlfn.XLOOKUP(L79,'Utslippsfaktorer Transport'!$A$23:$A$25,'Utslippsfaktorer Transport'!$E$23:$E$25)/1000/D79</f>
        <v>0</v>
      </c>
    </row>
    <row r="80" spans="1:42" outlineLevel="1" x14ac:dyDescent="0.3">
      <c r="A80" s="315">
        <v>0</v>
      </c>
      <c r="B80" s="906">
        <f>VLOOKUP(C80,'Vann og Avløp-utslippsfaktorer'!$A$3:$D$939,4,FALSE)</f>
        <v>353</v>
      </c>
      <c r="C80" s="373" t="s">
        <v>285</v>
      </c>
      <c r="D80" s="688">
        <v>1</v>
      </c>
      <c r="E80" s="315">
        <v>0</v>
      </c>
      <c r="F80" s="315">
        <v>100</v>
      </c>
      <c r="G80" s="315">
        <v>0</v>
      </c>
      <c r="H80" s="340">
        <v>0</v>
      </c>
      <c r="I80" s="483" t="s">
        <v>865</v>
      </c>
      <c r="J80" s="360" t="s">
        <v>648</v>
      </c>
      <c r="K80" s="360" t="s">
        <v>871</v>
      </c>
      <c r="L80" s="360" t="s">
        <v>868</v>
      </c>
      <c r="M80" s="473">
        <f>_xlfn.XLOOKUP(I80,'Utslippsfaktorer Transport'!$A$10:$A$19,'Utslippsfaktorer Transport'!$B$10:$B$19)*_xlfn.XLOOKUP(J80,'Utslippsfaktorer Transport'!$A$34:$A$52,'Utslippsfaktorer Transport'!$E$34:$E$52)</f>
        <v>64.47</v>
      </c>
      <c r="N80" s="442">
        <f>_xlfn.XLOOKUP(K80,'Utslippsfaktorer Transport'!$A$27:$A$29,'Utslippsfaktorer Transport'!$F$27:$F$29)</f>
        <v>17.5</v>
      </c>
      <c r="O80" s="902">
        <f>_xlfn.XLOOKUP(L80,'Utslippsfaktorer Transport'!$A$23:$A$25,'Utslippsfaktorer Transport'!$C$23:$C$25)</f>
        <v>0</v>
      </c>
      <c r="T80" s="316"/>
      <c r="AG80" s="373" t="s">
        <v>285</v>
      </c>
      <c r="AH80" s="442">
        <f>E80*F80*_xlfn.XLOOKUP(I80,'Utslippsfaktorer Transport'!$A$9:$A$19,'Utslippsfaktorer Transport'!$B$9:$B$19)*_xlfn.XLOOKUP(J80,'Utslippsfaktorer Transport'!$A$33:$A$52,'Utslippsfaktorer Transport'!$B$33:$B$52)/1000/D80</f>
        <v>0</v>
      </c>
      <c r="AI80" s="442">
        <f>E80*F80*_xlfn.XLOOKUP(I80,'Utslippsfaktorer Transport'!$A$9:$A$19,'Utslippsfaktorer Transport'!$B$9:$B$19)*_xlfn.XLOOKUP(J80,'Utslippsfaktorer Transport'!$A$33:$A$52,'Utslippsfaktorer Transport'!$C$33:$C$52)/1000/D80</f>
        <v>0</v>
      </c>
      <c r="AJ80" s="442">
        <f>E80*F80*_xlfn.XLOOKUP(I80,'Utslippsfaktorer Transport'!$A$9:$A$19,'Utslippsfaktorer Transport'!$B$9:$B$19)*_xlfn.XLOOKUP(J80,'Utslippsfaktorer Transport'!$A$33:$A$52,'Utslippsfaktorer Transport'!$D$33:$D$52)/1000/D80</f>
        <v>0</v>
      </c>
      <c r="AK80" s="904">
        <f>E80*G80*_xlfn.XLOOKUP(K80,'Utslippsfaktorer Transport'!$A$26:$A$29,'Utslippsfaktorer Transport'!$F$26:$F$29)/1000/D80</f>
        <v>0</v>
      </c>
      <c r="AL80" s="904">
        <f>E80*G80*_xlfn.XLOOKUP(K80,'Utslippsfaktorer Transport'!$A$26:$A$29,'Utslippsfaktorer Transport'!$G$26:$G$29)/1000/D80</f>
        <v>0</v>
      </c>
      <c r="AM80" s="904">
        <f>E80*G80*_xlfn.XLOOKUP(K80,'Utslippsfaktorer Transport'!$A$26:$A$29,'Utslippsfaktorer Transport'!$H$26:$H$29)/1000/D80</f>
        <v>0</v>
      </c>
      <c r="AN80" s="442">
        <f>H80*E80*_xlfn.XLOOKUP(L80,'Utslippsfaktorer Transport'!$A$23:$A$25,'Utslippsfaktorer Transport'!$C$23:$C$25)/1000/D80</f>
        <v>0</v>
      </c>
      <c r="AO80" s="442">
        <f>H80*E80*_xlfn.XLOOKUP(L80,'Utslippsfaktorer Transport'!$A$23:$A$25,'Utslippsfaktorer Transport'!$D$23:$D$25)/1000/D80</f>
        <v>0</v>
      </c>
      <c r="AP80" s="902">
        <f>H80*E80*_xlfn.XLOOKUP(L80,'Utslippsfaktorer Transport'!$A$23:$A$25,'Utslippsfaktorer Transport'!$E$23:$E$25)/1000/D80</f>
        <v>0</v>
      </c>
    </row>
    <row r="81" spans="1:42" outlineLevel="1" x14ac:dyDescent="0.3">
      <c r="A81" s="315">
        <v>0</v>
      </c>
      <c r="B81" s="906">
        <f>VLOOKUP(C81,'Vann og Avløp-utslippsfaktorer'!$A$3:$D$939,4,FALSE)</f>
        <v>777</v>
      </c>
      <c r="C81" s="373" t="s">
        <v>287</v>
      </c>
      <c r="D81" s="688">
        <v>1</v>
      </c>
      <c r="E81" s="315">
        <v>0</v>
      </c>
      <c r="F81" s="315">
        <v>100</v>
      </c>
      <c r="G81" s="315">
        <v>0</v>
      </c>
      <c r="H81" s="340">
        <v>0</v>
      </c>
      <c r="I81" s="483" t="s">
        <v>865</v>
      </c>
      <c r="J81" s="360" t="s">
        <v>648</v>
      </c>
      <c r="K81" s="360" t="s">
        <v>871</v>
      </c>
      <c r="L81" s="360" t="s">
        <v>868</v>
      </c>
      <c r="M81" s="473">
        <f>_xlfn.XLOOKUP(I81,'Utslippsfaktorer Transport'!$A$10:$A$19,'Utslippsfaktorer Transport'!$B$10:$B$19)*_xlfn.XLOOKUP(J81,'Utslippsfaktorer Transport'!$A$34:$A$52,'Utslippsfaktorer Transport'!$E$34:$E$52)</f>
        <v>64.47</v>
      </c>
      <c r="N81" s="442">
        <f>_xlfn.XLOOKUP(K81,'Utslippsfaktorer Transport'!$A$27:$A$29,'Utslippsfaktorer Transport'!$F$27:$F$29)</f>
        <v>17.5</v>
      </c>
      <c r="O81" s="902">
        <f>_xlfn.XLOOKUP(L81,'Utslippsfaktorer Transport'!$A$23:$A$25,'Utslippsfaktorer Transport'!$C$23:$C$25)</f>
        <v>0</v>
      </c>
      <c r="T81" s="316"/>
      <c r="AG81" s="373" t="s">
        <v>287</v>
      </c>
      <c r="AH81" s="442">
        <f>E81*F81*_xlfn.XLOOKUP(I81,'Utslippsfaktorer Transport'!$A$9:$A$19,'Utslippsfaktorer Transport'!$B$9:$B$19)*_xlfn.XLOOKUP(J81,'Utslippsfaktorer Transport'!$A$33:$A$52,'Utslippsfaktorer Transport'!$B$33:$B$52)/1000/D81</f>
        <v>0</v>
      </c>
      <c r="AI81" s="442">
        <f>E81*F81*_xlfn.XLOOKUP(I81,'Utslippsfaktorer Transport'!$A$9:$A$19,'Utslippsfaktorer Transport'!$B$9:$B$19)*_xlfn.XLOOKUP(J81,'Utslippsfaktorer Transport'!$A$33:$A$52,'Utslippsfaktorer Transport'!$C$33:$C$52)/1000/D81</f>
        <v>0</v>
      </c>
      <c r="AJ81" s="442">
        <f>E81*F81*_xlfn.XLOOKUP(I81,'Utslippsfaktorer Transport'!$A$9:$A$19,'Utslippsfaktorer Transport'!$B$9:$B$19)*_xlfn.XLOOKUP(J81,'Utslippsfaktorer Transport'!$A$33:$A$52,'Utslippsfaktorer Transport'!$D$33:$D$52)/1000/D81</f>
        <v>0</v>
      </c>
      <c r="AK81" s="904">
        <f>E81*G81*_xlfn.XLOOKUP(K81,'Utslippsfaktorer Transport'!$A$26:$A$29,'Utslippsfaktorer Transport'!$F$26:$F$29)/1000/D81</f>
        <v>0</v>
      </c>
      <c r="AL81" s="904">
        <f>E81*G81*_xlfn.XLOOKUP(K81,'Utslippsfaktorer Transport'!$A$26:$A$29,'Utslippsfaktorer Transport'!$G$26:$G$29)/1000/D81</f>
        <v>0</v>
      </c>
      <c r="AM81" s="904">
        <f>E81*G81*_xlfn.XLOOKUP(K81,'Utslippsfaktorer Transport'!$A$26:$A$29,'Utslippsfaktorer Transport'!$H$26:$H$29)/1000/D81</f>
        <v>0</v>
      </c>
      <c r="AN81" s="442">
        <f>H81*E81*_xlfn.XLOOKUP(L81,'Utslippsfaktorer Transport'!$A$23:$A$25,'Utslippsfaktorer Transport'!$C$23:$C$25)/1000/D81</f>
        <v>0</v>
      </c>
      <c r="AO81" s="442">
        <f>H81*E81*_xlfn.XLOOKUP(L81,'Utslippsfaktorer Transport'!$A$23:$A$25,'Utslippsfaktorer Transport'!$D$23:$D$25)/1000/D81</f>
        <v>0</v>
      </c>
      <c r="AP81" s="902">
        <f>H81*E81*_xlfn.XLOOKUP(L81,'Utslippsfaktorer Transport'!$A$23:$A$25,'Utslippsfaktorer Transport'!$E$23:$E$25)/1000/D81</f>
        <v>0</v>
      </c>
    </row>
    <row r="82" spans="1:42" outlineLevel="1" x14ac:dyDescent="0.3">
      <c r="A82" s="315">
        <v>0</v>
      </c>
      <c r="B82" s="906">
        <f>VLOOKUP(C82,'Vann og Avløp-utslippsfaktorer'!$A$3:$D$939,4,FALSE)</f>
        <v>551</v>
      </c>
      <c r="C82" s="373" t="s">
        <v>311</v>
      </c>
      <c r="D82" s="688">
        <v>1</v>
      </c>
      <c r="E82" s="315">
        <v>0</v>
      </c>
      <c r="F82" s="315">
        <v>100</v>
      </c>
      <c r="G82" s="315">
        <v>0</v>
      </c>
      <c r="H82" s="340">
        <v>0</v>
      </c>
      <c r="I82" s="483" t="s">
        <v>865</v>
      </c>
      <c r="J82" s="360" t="s">
        <v>648</v>
      </c>
      <c r="K82" s="360" t="s">
        <v>871</v>
      </c>
      <c r="L82" s="360" t="s">
        <v>868</v>
      </c>
      <c r="M82" s="473">
        <f>_xlfn.XLOOKUP(I82,'Utslippsfaktorer Transport'!$A$10:$A$19,'Utslippsfaktorer Transport'!$B$10:$B$19)*_xlfn.XLOOKUP(J82,'Utslippsfaktorer Transport'!$A$34:$A$52,'Utslippsfaktorer Transport'!$E$34:$E$52)</f>
        <v>64.47</v>
      </c>
      <c r="N82" s="442">
        <f>_xlfn.XLOOKUP(K82,'Utslippsfaktorer Transport'!$A$27:$A$29,'Utslippsfaktorer Transport'!$F$27:$F$29)</f>
        <v>17.5</v>
      </c>
      <c r="O82" s="902">
        <f>_xlfn.XLOOKUP(L82,'Utslippsfaktorer Transport'!$A$23:$A$25,'Utslippsfaktorer Transport'!$C$23:$C$25)</f>
        <v>0</v>
      </c>
      <c r="T82" s="316"/>
      <c r="AG82" s="373" t="s">
        <v>311</v>
      </c>
      <c r="AH82" s="442">
        <f>E82*F82*_xlfn.XLOOKUP(I82,'Utslippsfaktorer Transport'!$A$9:$A$19,'Utslippsfaktorer Transport'!$B$9:$B$19)*_xlfn.XLOOKUP(J82,'Utslippsfaktorer Transport'!$A$33:$A$52,'Utslippsfaktorer Transport'!$B$33:$B$52)/1000/D82</f>
        <v>0</v>
      </c>
      <c r="AI82" s="442">
        <f>E82*F82*_xlfn.XLOOKUP(I82,'Utslippsfaktorer Transport'!$A$9:$A$19,'Utslippsfaktorer Transport'!$B$9:$B$19)*_xlfn.XLOOKUP(J82,'Utslippsfaktorer Transport'!$A$33:$A$52,'Utslippsfaktorer Transport'!$C$33:$C$52)/1000/D82</f>
        <v>0</v>
      </c>
      <c r="AJ82" s="442">
        <f>E82*F82*_xlfn.XLOOKUP(I82,'Utslippsfaktorer Transport'!$A$9:$A$19,'Utslippsfaktorer Transport'!$B$9:$B$19)*_xlfn.XLOOKUP(J82,'Utslippsfaktorer Transport'!$A$33:$A$52,'Utslippsfaktorer Transport'!$D$33:$D$52)/1000/D82</f>
        <v>0</v>
      </c>
      <c r="AK82" s="904">
        <f>E82*G82*_xlfn.XLOOKUP(K82,'Utslippsfaktorer Transport'!$A$26:$A$29,'Utslippsfaktorer Transport'!$F$26:$F$29)/1000/D82</f>
        <v>0</v>
      </c>
      <c r="AL82" s="904">
        <f>E82*G82*_xlfn.XLOOKUP(K82,'Utslippsfaktorer Transport'!$A$26:$A$29,'Utslippsfaktorer Transport'!$G$26:$G$29)/1000/D82</f>
        <v>0</v>
      </c>
      <c r="AM82" s="904">
        <f>E82*G82*_xlfn.XLOOKUP(K82,'Utslippsfaktorer Transport'!$A$26:$A$29,'Utslippsfaktorer Transport'!$H$26:$H$29)/1000/D82</f>
        <v>0</v>
      </c>
      <c r="AN82" s="442">
        <f>H82*E82*_xlfn.XLOOKUP(L82,'Utslippsfaktorer Transport'!$A$23:$A$25,'Utslippsfaktorer Transport'!$C$23:$C$25)/1000/D82</f>
        <v>0</v>
      </c>
      <c r="AO82" s="442">
        <f>H82*E82*_xlfn.XLOOKUP(L82,'Utslippsfaktorer Transport'!$A$23:$A$25,'Utslippsfaktorer Transport'!$D$23:$D$25)/1000/D82</f>
        <v>0</v>
      </c>
      <c r="AP82" s="902">
        <f>H82*E82*_xlfn.XLOOKUP(L82,'Utslippsfaktorer Transport'!$A$23:$A$25,'Utslippsfaktorer Transport'!$E$23:$E$25)/1000/D82</f>
        <v>0</v>
      </c>
    </row>
    <row r="83" spans="1:42" outlineLevel="1" x14ac:dyDescent="0.3">
      <c r="A83" s="315">
        <v>0</v>
      </c>
      <c r="B83" s="906">
        <f>VLOOKUP(C83,'Vann og Avløp-utslippsfaktorer'!$A$3:$D$939,4,FALSE)</f>
        <v>1120</v>
      </c>
      <c r="C83" s="373" t="s">
        <v>301</v>
      </c>
      <c r="D83" s="688">
        <v>1</v>
      </c>
      <c r="E83" s="315">
        <v>0</v>
      </c>
      <c r="F83" s="315">
        <v>100</v>
      </c>
      <c r="G83" s="315">
        <v>0</v>
      </c>
      <c r="H83" s="340">
        <v>0</v>
      </c>
      <c r="I83" s="483" t="s">
        <v>865</v>
      </c>
      <c r="J83" s="360" t="s">
        <v>648</v>
      </c>
      <c r="K83" s="360" t="s">
        <v>871</v>
      </c>
      <c r="L83" s="360" t="s">
        <v>868</v>
      </c>
      <c r="M83" s="473">
        <f>_xlfn.XLOOKUP(I83,'Utslippsfaktorer Transport'!$A$10:$A$19,'Utslippsfaktorer Transport'!$B$10:$B$19)*_xlfn.XLOOKUP(J83,'Utslippsfaktorer Transport'!$A$34:$A$52,'Utslippsfaktorer Transport'!$E$34:$E$52)</f>
        <v>64.47</v>
      </c>
      <c r="N83" s="442">
        <f>_xlfn.XLOOKUP(K83,'Utslippsfaktorer Transport'!$A$27:$A$29,'Utslippsfaktorer Transport'!$F$27:$F$29)</f>
        <v>17.5</v>
      </c>
      <c r="O83" s="902">
        <f>_xlfn.XLOOKUP(L83,'Utslippsfaktorer Transport'!$A$23:$A$25,'Utslippsfaktorer Transport'!$C$23:$C$25)</f>
        <v>0</v>
      </c>
      <c r="T83" s="316"/>
      <c r="AG83" s="373" t="s">
        <v>301</v>
      </c>
      <c r="AH83" s="442">
        <f>E83*F83*_xlfn.XLOOKUP(I83,'Utslippsfaktorer Transport'!$A$9:$A$19,'Utslippsfaktorer Transport'!$B$9:$B$19)*_xlfn.XLOOKUP(J83,'Utslippsfaktorer Transport'!$A$33:$A$52,'Utslippsfaktorer Transport'!$B$33:$B$52)/1000/D83</f>
        <v>0</v>
      </c>
      <c r="AI83" s="442">
        <f>E83*F83*_xlfn.XLOOKUP(I83,'Utslippsfaktorer Transport'!$A$9:$A$19,'Utslippsfaktorer Transport'!$B$9:$B$19)*_xlfn.XLOOKUP(J83,'Utslippsfaktorer Transport'!$A$33:$A$52,'Utslippsfaktorer Transport'!$C$33:$C$52)/1000/D83</f>
        <v>0</v>
      </c>
      <c r="AJ83" s="442">
        <f>E83*F83*_xlfn.XLOOKUP(I83,'Utslippsfaktorer Transport'!$A$9:$A$19,'Utslippsfaktorer Transport'!$B$9:$B$19)*_xlfn.XLOOKUP(J83,'Utslippsfaktorer Transport'!$A$33:$A$52,'Utslippsfaktorer Transport'!$D$33:$D$52)/1000/D83</f>
        <v>0</v>
      </c>
      <c r="AK83" s="904">
        <f>E83*G83*_xlfn.XLOOKUP(K83,'Utslippsfaktorer Transport'!$A$26:$A$29,'Utslippsfaktorer Transport'!$F$26:$F$29)/1000/D83</f>
        <v>0</v>
      </c>
      <c r="AL83" s="904">
        <f>E83*G83*_xlfn.XLOOKUP(K83,'Utslippsfaktorer Transport'!$A$26:$A$29,'Utslippsfaktorer Transport'!$G$26:$G$29)/1000/D83</f>
        <v>0</v>
      </c>
      <c r="AM83" s="904">
        <f>E83*G83*_xlfn.XLOOKUP(K83,'Utslippsfaktorer Transport'!$A$26:$A$29,'Utslippsfaktorer Transport'!$H$26:$H$29)/1000/D83</f>
        <v>0</v>
      </c>
      <c r="AN83" s="442">
        <f>H83*E83*_xlfn.XLOOKUP(L83,'Utslippsfaktorer Transport'!$A$23:$A$25,'Utslippsfaktorer Transport'!$C$23:$C$25)/1000/D83</f>
        <v>0</v>
      </c>
      <c r="AO83" s="442">
        <f>H83*E83*_xlfn.XLOOKUP(L83,'Utslippsfaktorer Transport'!$A$23:$A$25,'Utslippsfaktorer Transport'!$D$23:$D$25)/1000/D83</f>
        <v>0</v>
      </c>
      <c r="AP83" s="902">
        <f>H83*E83*_xlfn.XLOOKUP(L83,'Utslippsfaktorer Transport'!$A$23:$A$25,'Utslippsfaktorer Transport'!$E$23:$E$25)/1000/D83</f>
        <v>0</v>
      </c>
    </row>
    <row r="84" spans="1:42" outlineLevel="1" x14ac:dyDescent="0.3">
      <c r="A84" s="315">
        <v>0</v>
      </c>
      <c r="B84" s="906">
        <f>VLOOKUP(C84,'Vann og Avløp-utslippsfaktorer'!$A$3:$D$939,4,FALSE)</f>
        <v>10</v>
      </c>
      <c r="C84" s="373" t="s">
        <v>312</v>
      </c>
      <c r="D84" s="688">
        <v>1</v>
      </c>
      <c r="E84" s="315">
        <v>0</v>
      </c>
      <c r="F84" s="315">
        <v>100</v>
      </c>
      <c r="G84" s="315">
        <v>0</v>
      </c>
      <c r="H84" s="340">
        <v>0</v>
      </c>
      <c r="I84" s="483" t="s">
        <v>865</v>
      </c>
      <c r="J84" s="360" t="s">
        <v>648</v>
      </c>
      <c r="K84" s="360" t="s">
        <v>871</v>
      </c>
      <c r="L84" s="360" t="s">
        <v>868</v>
      </c>
      <c r="M84" s="473">
        <f>_xlfn.XLOOKUP(I84,'Utslippsfaktorer Transport'!$A$10:$A$19,'Utslippsfaktorer Transport'!$B$10:$B$19)*_xlfn.XLOOKUP(J84,'Utslippsfaktorer Transport'!$A$34:$A$52,'Utslippsfaktorer Transport'!$E$34:$E$52)</f>
        <v>64.47</v>
      </c>
      <c r="N84" s="442">
        <f>_xlfn.XLOOKUP(K84,'Utslippsfaktorer Transport'!$A$27:$A$29,'Utslippsfaktorer Transport'!$F$27:$F$29)</f>
        <v>17.5</v>
      </c>
      <c r="O84" s="902">
        <f>_xlfn.XLOOKUP(L84,'Utslippsfaktorer Transport'!$A$23:$A$25,'Utslippsfaktorer Transport'!$C$23:$C$25)</f>
        <v>0</v>
      </c>
      <c r="T84" s="316"/>
      <c r="AG84" s="373" t="s">
        <v>312</v>
      </c>
      <c r="AH84" s="442">
        <f>E84*F84*_xlfn.XLOOKUP(I84,'Utslippsfaktorer Transport'!$A$9:$A$19,'Utslippsfaktorer Transport'!$B$9:$B$19)*_xlfn.XLOOKUP(J84,'Utslippsfaktorer Transport'!$A$33:$A$52,'Utslippsfaktorer Transport'!$B$33:$B$52)/1000/D84</f>
        <v>0</v>
      </c>
      <c r="AI84" s="442">
        <f>E84*F84*_xlfn.XLOOKUP(I84,'Utslippsfaktorer Transport'!$A$9:$A$19,'Utslippsfaktorer Transport'!$B$9:$B$19)*_xlfn.XLOOKUP(J84,'Utslippsfaktorer Transport'!$A$33:$A$52,'Utslippsfaktorer Transport'!$C$33:$C$52)/1000/D84</f>
        <v>0</v>
      </c>
      <c r="AJ84" s="442">
        <f>E84*F84*_xlfn.XLOOKUP(I84,'Utslippsfaktorer Transport'!$A$9:$A$19,'Utslippsfaktorer Transport'!$B$9:$B$19)*_xlfn.XLOOKUP(J84,'Utslippsfaktorer Transport'!$A$33:$A$52,'Utslippsfaktorer Transport'!$D$33:$D$52)/1000/D84</f>
        <v>0</v>
      </c>
      <c r="AK84" s="904">
        <f>E84*G84*_xlfn.XLOOKUP(K84,'Utslippsfaktorer Transport'!$A$26:$A$29,'Utslippsfaktorer Transport'!$F$26:$F$29)/1000/D84</f>
        <v>0</v>
      </c>
      <c r="AL84" s="904">
        <f>E84*G84*_xlfn.XLOOKUP(K84,'Utslippsfaktorer Transport'!$A$26:$A$29,'Utslippsfaktorer Transport'!$G$26:$G$29)/1000/D84</f>
        <v>0</v>
      </c>
      <c r="AM84" s="904">
        <f>E84*G84*_xlfn.XLOOKUP(K84,'Utslippsfaktorer Transport'!$A$26:$A$29,'Utslippsfaktorer Transport'!$H$26:$H$29)/1000/D84</f>
        <v>0</v>
      </c>
      <c r="AN84" s="442">
        <f>H84*E84*_xlfn.XLOOKUP(L84,'Utslippsfaktorer Transport'!$A$23:$A$25,'Utslippsfaktorer Transport'!$C$23:$C$25)/1000/D84</f>
        <v>0</v>
      </c>
      <c r="AO84" s="442">
        <f>H84*E84*_xlfn.XLOOKUP(L84,'Utslippsfaktorer Transport'!$A$23:$A$25,'Utslippsfaktorer Transport'!$D$23:$D$25)/1000/D84</f>
        <v>0</v>
      </c>
      <c r="AP84" s="902">
        <f>H84*E84*_xlfn.XLOOKUP(L84,'Utslippsfaktorer Transport'!$A$23:$A$25,'Utslippsfaktorer Transport'!$E$23:$E$25)/1000/D84</f>
        <v>0</v>
      </c>
    </row>
    <row r="85" spans="1:42" ht="15" outlineLevel="1" thickBot="1" x14ac:dyDescent="0.35">
      <c r="A85" s="319">
        <v>0</v>
      </c>
      <c r="B85" s="907">
        <f>VLOOKUP(C85,'Vann og Avløp-utslippsfaktorer'!$A$3:$D$939,4,FALSE)</f>
        <v>929.28</v>
      </c>
      <c r="C85" s="376" t="s">
        <v>498</v>
      </c>
      <c r="D85" s="693">
        <v>1</v>
      </c>
      <c r="E85" s="319">
        <v>0</v>
      </c>
      <c r="F85" s="319">
        <v>100</v>
      </c>
      <c r="G85" s="319">
        <v>0</v>
      </c>
      <c r="H85" s="352">
        <v>0</v>
      </c>
      <c r="I85" s="365" t="s">
        <v>865</v>
      </c>
      <c r="J85" s="329" t="s">
        <v>648</v>
      </c>
      <c r="K85" s="329" t="s">
        <v>871</v>
      </c>
      <c r="L85" s="329" t="s">
        <v>868</v>
      </c>
      <c r="M85" s="479">
        <f>_xlfn.XLOOKUP(I85,'Utslippsfaktorer Transport'!$A$10:$A$19,'Utslippsfaktorer Transport'!$B$10:$B$19)*_xlfn.XLOOKUP(J85,'Utslippsfaktorer Transport'!$A$34:$A$52,'Utslippsfaktorer Transport'!$E$34:$E$52)</f>
        <v>64.47</v>
      </c>
      <c r="N85" s="441">
        <f>_xlfn.XLOOKUP(K85,'Utslippsfaktorer Transport'!$A$27:$A$29,'Utslippsfaktorer Transport'!$F$27:$F$29)</f>
        <v>17.5</v>
      </c>
      <c r="O85" s="903">
        <f>_xlfn.XLOOKUP(L85,'Utslippsfaktorer Transport'!$A$23:$A$25,'Utslippsfaktorer Transport'!$C$23:$C$25)</f>
        <v>0</v>
      </c>
      <c r="P85" s="318"/>
      <c r="Q85" s="318"/>
      <c r="R85" s="318"/>
      <c r="S85" s="318"/>
      <c r="T85" s="320"/>
      <c r="AG85" s="376" t="s">
        <v>498</v>
      </c>
      <c r="AH85" s="441">
        <f>E85*F85*_xlfn.XLOOKUP(I85,'Utslippsfaktorer Transport'!$A$9:$A$19,'Utslippsfaktorer Transport'!$B$9:$B$19)*_xlfn.XLOOKUP(J85,'Utslippsfaktorer Transport'!$A$33:$A$52,'Utslippsfaktorer Transport'!$B$33:$B$52)/1000/D85</f>
        <v>0</v>
      </c>
      <c r="AI85" s="441">
        <f>E85*F85*_xlfn.XLOOKUP(I85,'Utslippsfaktorer Transport'!$A$9:$A$19,'Utslippsfaktorer Transport'!$B$9:$B$19)*_xlfn.XLOOKUP(J85,'Utslippsfaktorer Transport'!$A$33:$A$52,'Utslippsfaktorer Transport'!$C$33:$C$52)/1000/D85</f>
        <v>0</v>
      </c>
      <c r="AJ85" s="441">
        <f>E85*F85*_xlfn.XLOOKUP(I85,'Utslippsfaktorer Transport'!$A$9:$A$19,'Utslippsfaktorer Transport'!$B$9:$B$19)*_xlfn.XLOOKUP(J85,'Utslippsfaktorer Transport'!$A$33:$A$52,'Utslippsfaktorer Transport'!$D$33:$D$52)/1000/D85</f>
        <v>0</v>
      </c>
      <c r="AK85" s="905">
        <f>E85*G85*_xlfn.XLOOKUP(K85,'Utslippsfaktorer Transport'!$A$26:$A$29,'Utslippsfaktorer Transport'!$F$26:$F$29)/1000/D85</f>
        <v>0</v>
      </c>
      <c r="AL85" s="905">
        <f>E85*G85*_xlfn.XLOOKUP(K85,'Utslippsfaktorer Transport'!$A$26:$A$29,'Utslippsfaktorer Transport'!$G$26:$G$29)/1000/D85</f>
        <v>0</v>
      </c>
      <c r="AM85" s="905">
        <f>E85*G85*_xlfn.XLOOKUP(K85,'Utslippsfaktorer Transport'!$A$26:$A$29,'Utslippsfaktorer Transport'!$H$26:$H$29)/1000/D85</f>
        <v>0</v>
      </c>
      <c r="AN85" s="441">
        <f>H85*E85*_xlfn.XLOOKUP(L85,'Utslippsfaktorer Transport'!$A$23:$A$25,'Utslippsfaktorer Transport'!$C$23:$C$25)/1000/D85</f>
        <v>0</v>
      </c>
      <c r="AO85" s="441">
        <f>H85*E85*_xlfn.XLOOKUP(L85,'Utslippsfaktorer Transport'!$A$23:$A$25,'Utslippsfaktorer Transport'!$D$23:$D$25)/1000/D85</f>
        <v>0</v>
      </c>
      <c r="AP85" s="903">
        <f>H85*E85*_xlfn.XLOOKUP(L85,'Utslippsfaktorer Transport'!$A$23:$A$25,'Utslippsfaktorer Transport'!$E$23:$E$25)/1000/D85</f>
        <v>0</v>
      </c>
    </row>
    <row r="86" spans="1:42" ht="15" thickBot="1" x14ac:dyDescent="0.35">
      <c r="AK86" s="660"/>
      <c r="AL86" s="660"/>
      <c r="AM86" s="660"/>
    </row>
    <row r="87" spans="1:42" ht="15" thickBot="1" x14ac:dyDescent="0.35">
      <c r="A87" s="353" t="s">
        <v>693</v>
      </c>
      <c r="B87" s="652"/>
      <c r="C87" s="354"/>
      <c r="D87" s="354"/>
      <c r="E87" s="354"/>
      <c r="F87" s="354"/>
      <c r="G87" s="354"/>
      <c r="H87" s="355"/>
      <c r="I87" s="456"/>
      <c r="J87" s="456"/>
      <c r="K87" s="456"/>
      <c r="L87" s="456"/>
      <c r="M87" s="456"/>
      <c r="N87" s="456"/>
      <c r="O87" s="456"/>
      <c r="P87" s="456"/>
      <c r="Q87" s="313"/>
      <c r="AG87" s="353"/>
      <c r="AH87" s="652"/>
      <c r="AI87" s="652"/>
      <c r="AJ87" s="652"/>
      <c r="AK87" s="692"/>
      <c r="AL87" s="692"/>
      <c r="AM87" s="692"/>
      <c r="AN87" s="652"/>
      <c r="AO87" s="652"/>
      <c r="AP87" s="653"/>
    </row>
    <row r="88" spans="1:42" ht="15.6" x14ac:dyDescent="0.3">
      <c r="A88" s="370" t="s">
        <v>777</v>
      </c>
      <c r="B88" s="370" t="s">
        <v>689</v>
      </c>
      <c r="C88" s="654" t="s">
        <v>690</v>
      </c>
      <c r="D88" s="687" t="s">
        <v>763</v>
      </c>
      <c r="E88" s="656" t="s">
        <v>321</v>
      </c>
      <c r="F88" s="656" t="s">
        <v>669</v>
      </c>
      <c r="G88" s="656" t="s">
        <v>667</v>
      </c>
      <c r="H88" s="419" t="s">
        <v>670</v>
      </c>
      <c r="I88" s="378" t="s">
        <v>891</v>
      </c>
      <c r="J88" s="307" t="s">
        <v>892</v>
      </c>
      <c r="K88" s="307" t="s">
        <v>893</v>
      </c>
      <c r="L88" s="307" t="s">
        <v>890</v>
      </c>
      <c r="M88" s="307" t="s">
        <v>894</v>
      </c>
      <c r="N88" s="307" t="s">
        <v>895</v>
      </c>
      <c r="O88" s="419" t="s">
        <v>901</v>
      </c>
      <c r="P88" s="313"/>
      <c r="Q88" s="313"/>
      <c r="AG88" s="654" t="s">
        <v>690</v>
      </c>
      <c r="AH88" s="307"/>
      <c r="AI88" s="307"/>
      <c r="AJ88" s="307"/>
      <c r="AK88" s="661"/>
      <c r="AL88" s="661"/>
      <c r="AM88" s="661"/>
      <c r="AN88" s="307"/>
      <c r="AO88" s="307"/>
      <c r="AP88" s="419"/>
    </row>
    <row r="89" spans="1:42" x14ac:dyDescent="0.3">
      <c r="A89" s="483">
        <v>0</v>
      </c>
      <c r="B89" s="483">
        <v>1</v>
      </c>
      <c r="C89" s="483" t="s">
        <v>919</v>
      </c>
      <c r="D89" s="688">
        <v>0.15</v>
      </c>
      <c r="E89" s="315">
        <v>0</v>
      </c>
      <c r="F89" s="315">
        <v>100</v>
      </c>
      <c r="G89" s="315">
        <v>0</v>
      </c>
      <c r="H89" s="340">
        <v>0</v>
      </c>
      <c r="I89" s="483" t="s">
        <v>865</v>
      </c>
      <c r="J89" s="360" t="s">
        <v>648</v>
      </c>
      <c r="K89" s="360" t="s">
        <v>871</v>
      </c>
      <c r="L89" s="360" t="s">
        <v>868</v>
      </c>
      <c r="M89" s="374">
        <v>64.47</v>
      </c>
      <c r="N89" s="442">
        <f>_xlfn.XLOOKUP(K89,'Utslippsfaktorer Transport'!$A$27:$A$29,'Utslippsfaktorer Transport'!$F$27:$F$29)</f>
        <v>17.5</v>
      </c>
      <c r="O89" s="902">
        <f>_xlfn.XLOOKUP(L89,'Utslippsfaktorer Transport'!$A$23:$A$25,'Utslippsfaktorer Transport'!$C$23:$C$25)</f>
        <v>0</v>
      </c>
      <c r="P89" s="313"/>
      <c r="Q89" s="313"/>
      <c r="AG89" s="868" t="str">
        <f>C89</f>
        <v>F.eks Klor 15 %, mengde klor oppgis uten vann i tonn/år</v>
      </c>
      <c r="AH89" s="442">
        <f>E89*F89*_xlfn.XLOOKUP(I89,'Utslippsfaktorer Transport'!$A$9:$A$19,'Utslippsfaktorer Transport'!$B$9:$B$19)*_xlfn.XLOOKUP(J89,'Utslippsfaktorer Transport'!$A$33:$A$52,'Utslippsfaktorer Transport'!$B$33:$B$52)/1000/D89</f>
        <v>0</v>
      </c>
      <c r="AI89" s="442">
        <f>E89*F89*_xlfn.XLOOKUP(I89,'Utslippsfaktorer Transport'!$A$9:$A$19,'Utslippsfaktorer Transport'!$B$9:$B$19)*_xlfn.XLOOKUP(J89,'Utslippsfaktorer Transport'!$A$33:$A$52,'Utslippsfaktorer Transport'!$C$33:$C$52)/1000/D89</f>
        <v>0</v>
      </c>
      <c r="AJ89" s="442">
        <f>E89*F89*_xlfn.XLOOKUP(I89,'Utslippsfaktorer Transport'!$A$9:$A$19,'Utslippsfaktorer Transport'!$B$9:$B$19)*_xlfn.XLOOKUP(J89,'Utslippsfaktorer Transport'!$A$33:$A$52,'Utslippsfaktorer Transport'!$D$33:$D$52)/1000/D89</f>
        <v>0</v>
      </c>
      <c r="AK89" s="904">
        <f>E89*G89*_xlfn.XLOOKUP(K89,'Utslippsfaktorer Transport'!$A$26:$A$29,'Utslippsfaktorer Transport'!$F$26:$F$29)/1000/D89</f>
        <v>0</v>
      </c>
      <c r="AL89" s="904">
        <f>E89*G89*_xlfn.XLOOKUP(K89,'Utslippsfaktorer Transport'!$A$26:$A$29,'Utslippsfaktorer Transport'!$G$26:$G$29)/1000/D89</f>
        <v>0</v>
      </c>
      <c r="AM89" s="904">
        <f>E89*G89*_xlfn.XLOOKUP(K89,'Utslippsfaktorer Transport'!$A$26:$A$29,'Utslippsfaktorer Transport'!$H$26:$H$29)/1000/D89</f>
        <v>0</v>
      </c>
      <c r="AN89" s="442">
        <f>H89*E89*_xlfn.XLOOKUP(L89,'Utslippsfaktorer Transport'!$A$23:$A$25,'Utslippsfaktorer Transport'!$C$23:$C$25)/1000/D89</f>
        <v>0</v>
      </c>
      <c r="AO89" s="442">
        <f>H89*E89*_xlfn.XLOOKUP(L89,'Utslippsfaktorer Transport'!$A$23:$A$25,'Utslippsfaktorer Transport'!$D$23:$D$25)/1000/D89</f>
        <v>0</v>
      </c>
      <c r="AP89" s="902">
        <f>H89*E89*_xlfn.XLOOKUP(L89,'Utslippsfaktorer Transport'!$A$23:$A$25,'Utslippsfaktorer Transport'!$E$23:$E$25)/1000/D89</f>
        <v>0</v>
      </c>
    </row>
    <row r="90" spans="1:42" x14ac:dyDescent="0.3">
      <c r="A90" s="483">
        <v>0</v>
      </c>
      <c r="B90" s="483"/>
      <c r="C90" s="483" t="s">
        <v>691</v>
      </c>
      <c r="D90" s="688">
        <v>1</v>
      </c>
      <c r="E90" s="315">
        <v>0</v>
      </c>
      <c r="F90" s="315">
        <v>100</v>
      </c>
      <c r="G90" s="315">
        <v>0</v>
      </c>
      <c r="H90" s="340">
        <v>0</v>
      </c>
      <c r="I90" s="483" t="s">
        <v>865</v>
      </c>
      <c r="J90" s="360" t="s">
        <v>648</v>
      </c>
      <c r="K90" s="360" t="s">
        <v>871</v>
      </c>
      <c r="L90" s="360" t="s">
        <v>868</v>
      </c>
      <c r="M90" s="374">
        <v>64.47</v>
      </c>
      <c r="N90" s="442">
        <f>_xlfn.XLOOKUP(K90,'Utslippsfaktorer Transport'!$A$27:$A$29,'Utslippsfaktorer Transport'!$F$27:$F$29)</f>
        <v>17.5</v>
      </c>
      <c r="O90" s="902">
        <f>_xlfn.XLOOKUP(L90,'Utslippsfaktorer Transport'!$A$23:$A$25,'Utslippsfaktorer Transport'!$C$23:$C$25)</f>
        <v>0</v>
      </c>
      <c r="P90" s="313"/>
      <c r="Q90" s="313"/>
      <c r="AG90" s="868" t="str">
        <f t="shared" ref="AG90:AG98" si="0">C90</f>
        <v>Skriv navn på vare her</v>
      </c>
      <c r="AH90" s="442">
        <f>E90*F90*_xlfn.XLOOKUP(I90,'Utslippsfaktorer Transport'!$A$9:$A$19,'Utslippsfaktorer Transport'!$B$9:$B$19)*_xlfn.XLOOKUP(J90,'Utslippsfaktorer Transport'!$A$33:$A$52,'Utslippsfaktorer Transport'!$B$33:$B$52)/1000/D90</f>
        <v>0</v>
      </c>
      <c r="AI90" s="442">
        <f>E90*F90*_xlfn.XLOOKUP(I90,'Utslippsfaktorer Transport'!$A$9:$A$19,'Utslippsfaktorer Transport'!$B$9:$B$19)*_xlfn.XLOOKUP(J90,'Utslippsfaktorer Transport'!$A$33:$A$52,'Utslippsfaktorer Transport'!$C$33:$C$52)/1000/D90</f>
        <v>0</v>
      </c>
      <c r="AJ90" s="442">
        <f>E90*F90*_xlfn.XLOOKUP(I90,'Utslippsfaktorer Transport'!$A$9:$A$19,'Utslippsfaktorer Transport'!$B$9:$B$19)*_xlfn.XLOOKUP(J90,'Utslippsfaktorer Transport'!$A$33:$A$52,'Utslippsfaktorer Transport'!$D$33:$D$52)/1000/D90</f>
        <v>0</v>
      </c>
      <c r="AK90" s="904">
        <f>E90*G90*_xlfn.XLOOKUP(K90,'Utslippsfaktorer Transport'!$A$26:$A$29,'Utslippsfaktorer Transport'!$F$26:$F$29)/1000/D90</f>
        <v>0</v>
      </c>
      <c r="AL90" s="904">
        <f>E90*G90*_xlfn.XLOOKUP(K90,'Utslippsfaktorer Transport'!$A$26:$A$29,'Utslippsfaktorer Transport'!$G$26:$G$29)/1000/D90</f>
        <v>0</v>
      </c>
      <c r="AM90" s="904">
        <f>E90*G90*_xlfn.XLOOKUP(K90,'Utslippsfaktorer Transport'!$A$26:$A$29,'Utslippsfaktorer Transport'!$H$26:$H$29)/1000/D90</f>
        <v>0</v>
      </c>
      <c r="AN90" s="442">
        <f>H90*E90*_xlfn.XLOOKUP(L90,'Utslippsfaktorer Transport'!$A$23:$A$25,'Utslippsfaktorer Transport'!$C$23:$C$25)/1000/D90</f>
        <v>0</v>
      </c>
      <c r="AO90" s="442">
        <f>H90*E90*_xlfn.XLOOKUP(L90,'Utslippsfaktorer Transport'!$A$23:$A$25,'Utslippsfaktorer Transport'!$D$23:$D$25)/1000/D90</f>
        <v>0</v>
      </c>
      <c r="AP90" s="902">
        <f>H90*E90*_xlfn.XLOOKUP(L90,'Utslippsfaktorer Transport'!$A$23:$A$25,'Utslippsfaktorer Transport'!$E$23:$E$25)/1000/D90</f>
        <v>0</v>
      </c>
    </row>
    <row r="91" spans="1:42" x14ac:dyDescent="0.3">
      <c r="A91" s="483">
        <v>0</v>
      </c>
      <c r="B91" s="483"/>
      <c r="C91" s="483" t="s">
        <v>691</v>
      </c>
      <c r="D91" s="688">
        <v>1</v>
      </c>
      <c r="E91" s="315">
        <v>0</v>
      </c>
      <c r="F91" s="315">
        <v>100</v>
      </c>
      <c r="G91" s="315">
        <v>0</v>
      </c>
      <c r="H91" s="340">
        <v>0</v>
      </c>
      <c r="I91" s="483" t="s">
        <v>865</v>
      </c>
      <c r="J91" s="360" t="s">
        <v>648</v>
      </c>
      <c r="K91" s="360" t="s">
        <v>871</v>
      </c>
      <c r="L91" s="360" t="s">
        <v>868</v>
      </c>
      <c r="M91" s="374">
        <v>64.47</v>
      </c>
      <c r="N91" s="442">
        <f>_xlfn.XLOOKUP(K91,'Utslippsfaktorer Transport'!$A$27:$A$29,'Utslippsfaktorer Transport'!$F$27:$F$29)</f>
        <v>17.5</v>
      </c>
      <c r="O91" s="902">
        <f>_xlfn.XLOOKUP(L91,'Utslippsfaktorer Transport'!$A$23:$A$25,'Utslippsfaktorer Transport'!$C$23:$C$25)</f>
        <v>0</v>
      </c>
      <c r="P91" s="313"/>
      <c r="Q91" s="313"/>
      <c r="AG91" s="868" t="str">
        <f t="shared" si="0"/>
        <v>Skriv navn på vare her</v>
      </c>
      <c r="AH91" s="442">
        <f>E91*F91*_xlfn.XLOOKUP(I91,'Utslippsfaktorer Transport'!$A$9:$A$19,'Utslippsfaktorer Transport'!$B$9:$B$19)*_xlfn.XLOOKUP(J91,'Utslippsfaktorer Transport'!$A$33:$A$52,'Utslippsfaktorer Transport'!$B$33:$B$52)/1000/D91</f>
        <v>0</v>
      </c>
      <c r="AI91" s="442">
        <f>E91*F91*_xlfn.XLOOKUP(I91,'Utslippsfaktorer Transport'!$A$9:$A$19,'Utslippsfaktorer Transport'!$B$9:$B$19)*_xlfn.XLOOKUP(J91,'Utslippsfaktorer Transport'!$A$33:$A$52,'Utslippsfaktorer Transport'!$C$33:$C$52)/1000/D91</f>
        <v>0</v>
      </c>
      <c r="AJ91" s="442">
        <f>E91*F91*_xlfn.XLOOKUP(I91,'Utslippsfaktorer Transport'!$A$9:$A$19,'Utslippsfaktorer Transport'!$B$9:$B$19)*_xlfn.XLOOKUP(J91,'Utslippsfaktorer Transport'!$A$33:$A$52,'Utslippsfaktorer Transport'!$D$33:$D$52)/1000/D91</f>
        <v>0</v>
      </c>
      <c r="AK91" s="904">
        <f>E91*G91*_xlfn.XLOOKUP(K91,'Utslippsfaktorer Transport'!$A$26:$A$29,'Utslippsfaktorer Transport'!$F$26:$F$29)/1000/D91</f>
        <v>0</v>
      </c>
      <c r="AL91" s="904">
        <f>E91*G91*_xlfn.XLOOKUP(K91,'Utslippsfaktorer Transport'!$A$26:$A$29,'Utslippsfaktorer Transport'!$G$26:$G$29)/1000/D91</f>
        <v>0</v>
      </c>
      <c r="AM91" s="904">
        <f>E91*G91*_xlfn.XLOOKUP(K91,'Utslippsfaktorer Transport'!$A$26:$A$29,'Utslippsfaktorer Transport'!$H$26:$H$29)/1000/D91</f>
        <v>0</v>
      </c>
      <c r="AN91" s="442">
        <f>H91*E91*_xlfn.XLOOKUP(L91,'Utslippsfaktorer Transport'!$A$23:$A$25,'Utslippsfaktorer Transport'!$C$23:$C$25)/1000/D91</f>
        <v>0</v>
      </c>
      <c r="AO91" s="442">
        <f>H91*E91*_xlfn.XLOOKUP(L91,'Utslippsfaktorer Transport'!$A$23:$A$25,'Utslippsfaktorer Transport'!$D$23:$D$25)/1000/D91</f>
        <v>0</v>
      </c>
      <c r="AP91" s="902">
        <f>H91*E91*_xlfn.XLOOKUP(L91,'Utslippsfaktorer Transport'!$A$23:$A$25,'Utslippsfaktorer Transport'!$E$23:$E$25)/1000/D91</f>
        <v>0</v>
      </c>
    </row>
    <row r="92" spans="1:42" x14ac:dyDescent="0.3">
      <c r="A92" s="483">
        <v>0</v>
      </c>
      <c r="B92" s="483"/>
      <c r="C92" s="483" t="s">
        <v>691</v>
      </c>
      <c r="D92" s="688">
        <v>1</v>
      </c>
      <c r="E92" s="315">
        <v>0</v>
      </c>
      <c r="F92" s="315">
        <v>100</v>
      </c>
      <c r="G92" s="315">
        <v>0</v>
      </c>
      <c r="H92" s="340">
        <v>0</v>
      </c>
      <c r="I92" s="483" t="s">
        <v>865</v>
      </c>
      <c r="J92" s="360" t="s">
        <v>648</v>
      </c>
      <c r="K92" s="360" t="s">
        <v>871</v>
      </c>
      <c r="L92" s="360" t="s">
        <v>868</v>
      </c>
      <c r="M92" s="374">
        <v>64.47</v>
      </c>
      <c r="N92" s="442">
        <f>_xlfn.XLOOKUP(K92,'Utslippsfaktorer Transport'!$A$27:$A$29,'Utslippsfaktorer Transport'!$F$27:$F$29)</f>
        <v>17.5</v>
      </c>
      <c r="O92" s="902">
        <f>_xlfn.XLOOKUP(L92,'Utslippsfaktorer Transport'!$A$23:$A$25,'Utslippsfaktorer Transport'!$C$23:$C$25)</f>
        <v>0</v>
      </c>
      <c r="P92" s="313"/>
      <c r="Q92" s="313"/>
      <c r="AG92" s="868" t="str">
        <f t="shared" si="0"/>
        <v>Skriv navn på vare her</v>
      </c>
      <c r="AH92" s="442">
        <f>E92*F92*_xlfn.XLOOKUP(I92,'Utslippsfaktorer Transport'!$A$9:$A$19,'Utslippsfaktorer Transport'!$B$9:$B$19)*_xlfn.XLOOKUP(J92,'Utslippsfaktorer Transport'!$A$33:$A$52,'Utslippsfaktorer Transport'!$B$33:$B$52)/1000/D92</f>
        <v>0</v>
      </c>
      <c r="AI92" s="442">
        <f>E92*F92*_xlfn.XLOOKUP(I92,'Utslippsfaktorer Transport'!$A$9:$A$19,'Utslippsfaktorer Transport'!$B$9:$B$19)*_xlfn.XLOOKUP(J92,'Utslippsfaktorer Transport'!$A$33:$A$52,'Utslippsfaktorer Transport'!$C$33:$C$52)/1000/D92</f>
        <v>0</v>
      </c>
      <c r="AJ92" s="442">
        <f>E92*F92*_xlfn.XLOOKUP(I92,'Utslippsfaktorer Transport'!$A$9:$A$19,'Utslippsfaktorer Transport'!$B$9:$B$19)*_xlfn.XLOOKUP(J92,'Utslippsfaktorer Transport'!$A$33:$A$52,'Utslippsfaktorer Transport'!$D$33:$D$52)/1000/D92</f>
        <v>0</v>
      </c>
      <c r="AK92" s="904">
        <f>E92*G92*_xlfn.XLOOKUP(K92,'Utslippsfaktorer Transport'!$A$26:$A$29,'Utslippsfaktorer Transport'!$F$26:$F$29)/1000/D92</f>
        <v>0</v>
      </c>
      <c r="AL92" s="904">
        <f>E92*G92*_xlfn.XLOOKUP(K92,'Utslippsfaktorer Transport'!$A$26:$A$29,'Utslippsfaktorer Transport'!$G$26:$G$29)/1000/D92</f>
        <v>0</v>
      </c>
      <c r="AM92" s="904">
        <f>E92*G92*_xlfn.XLOOKUP(K92,'Utslippsfaktorer Transport'!$A$26:$A$29,'Utslippsfaktorer Transport'!$H$26:$H$29)/1000/D92</f>
        <v>0</v>
      </c>
      <c r="AN92" s="442">
        <f>H92*E92*_xlfn.XLOOKUP(L92,'Utslippsfaktorer Transport'!$A$23:$A$25,'Utslippsfaktorer Transport'!$C$23:$C$25)/1000/D92</f>
        <v>0</v>
      </c>
      <c r="AO92" s="442">
        <f>H92*E92*_xlfn.XLOOKUP(L92,'Utslippsfaktorer Transport'!$A$23:$A$25,'Utslippsfaktorer Transport'!$D$23:$D$25)/1000/D92</f>
        <v>0</v>
      </c>
      <c r="AP92" s="902">
        <f>H92*E92*_xlfn.XLOOKUP(L92,'Utslippsfaktorer Transport'!$A$23:$A$25,'Utslippsfaktorer Transport'!$E$23:$E$25)/1000/D92</f>
        <v>0</v>
      </c>
    </row>
    <row r="93" spans="1:42" x14ac:dyDescent="0.3">
      <c r="A93" s="483">
        <v>0</v>
      </c>
      <c r="B93" s="483"/>
      <c r="C93" s="483" t="s">
        <v>691</v>
      </c>
      <c r="D93" s="688">
        <v>1</v>
      </c>
      <c r="E93" s="315">
        <v>0</v>
      </c>
      <c r="F93" s="315">
        <v>100</v>
      </c>
      <c r="G93" s="315">
        <v>0</v>
      </c>
      <c r="H93" s="340">
        <v>0</v>
      </c>
      <c r="I93" s="483" t="s">
        <v>865</v>
      </c>
      <c r="J93" s="360" t="s">
        <v>648</v>
      </c>
      <c r="K93" s="360" t="s">
        <v>871</v>
      </c>
      <c r="L93" s="360" t="s">
        <v>868</v>
      </c>
      <c r="M93" s="374">
        <v>64.47</v>
      </c>
      <c r="N93" s="442">
        <f>_xlfn.XLOOKUP(K93,'Utslippsfaktorer Transport'!$A$27:$A$29,'Utslippsfaktorer Transport'!$F$27:$F$29)</f>
        <v>17.5</v>
      </c>
      <c r="O93" s="902">
        <f>_xlfn.XLOOKUP(L93,'Utslippsfaktorer Transport'!$A$23:$A$25,'Utslippsfaktorer Transport'!$C$23:$C$25)</f>
        <v>0</v>
      </c>
      <c r="P93" s="313"/>
      <c r="Q93" s="313"/>
      <c r="AG93" s="868" t="str">
        <f t="shared" si="0"/>
        <v>Skriv navn på vare her</v>
      </c>
      <c r="AH93" s="442">
        <f>E93*F93*_xlfn.XLOOKUP(I93,'Utslippsfaktorer Transport'!$A$9:$A$19,'Utslippsfaktorer Transport'!$B$9:$B$19)*_xlfn.XLOOKUP(J93,'Utslippsfaktorer Transport'!$A$33:$A$52,'Utslippsfaktorer Transport'!$B$33:$B$52)/1000/D93</f>
        <v>0</v>
      </c>
      <c r="AI93" s="442">
        <f>E93*F93*_xlfn.XLOOKUP(I93,'Utslippsfaktorer Transport'!$A$9:$A$19,'Utslippsfaktorer Transport'!$B$9:$B$19)*_xlfn.XLOOKUP(J93,'Utslippsfaktorer Transport'!$A$33:$A$52,'Utslippsfaktorer Transport'!$C$33:$C$52)/1000/D93</f>
        <v>0</v>
      </c>
      <c r="AJ93" s="442">
        <f>E93*F93*_xlfn.XLOOKUP(I93,'Utslippsfaktorer Transport'!$A$9:$A$19,'Utslippsfaktorer Transport'!$B$9:$B$19)*_xlfn.XLOOKUP(J93,'Utslippsfaktorer Transport'!$A$33:$A$52,'Utslippsfaktorer Transport'!$D$33:$D$52)/1000/D93</f>
        <v>0</v>
      </c>
      <c r="AK93" s="904">
        <f>E93*G93*_xlfn.XLOOKUP(K93,'Utslippsfaktorer Transport'!$A$26:$A$29,'Utslippsfaktorer Transport'!$F$26:$F$29)/1000/D93</f>
        <v>0</v>
      </c>
      <c r="AL93" s="904">
        <f>E93*G93*_xlfn.XLOOKUP(K93,'Utslippsfaktorer Transport'!$A$26:$A$29,'Utslippsfaktorer Transport'!$G$26:$G$29)/1000/D93</f>
        <v>0</v>
      </c>
      <c r="AM93" s="904">
        <f>E93*G93*_xlfn.XLOOKUP(K93,'Utslippsfaktorer Transport'!$A$26:$A$29,'Utslippsfaktorer Transport'!$H$26:$H$29)/1000/D93</f>
        <v>0</v>
      </c>
      <c r="AN93" s="442">
        <f>H93*E93*_xlfn.XLOOKUP(L93,'Utslippsfaktorer Transport'!$A$23:$A$25,'Utslippsfaktorer Transport'!$C$23:$C$25)/1000/D93</f>
        <v>0</v>
      </c>
      <c r="AO93" s="442">
        <f>H93*E93*_xlfn.XLOOKUP(L93,'Utslippsfaktorer Transport'!$A$23:$A$25,'Utslippsfaktorer Transport'!$D$23:$D$25)/1000/D93</f>
        <v>0</v>
      </c>
      <c r="AP93" s="902">
        <f>H93*E93*_xlfn.XLOOKUP(L93,'Utslippsfaktorer Transport'!$A$23:$A$25,'Utslippsfaktorer Transport'!$E$23:$E$25)/1000/D93</f>
        <v>0</v>
      </c>
    </row>
    <row r="94" spans="1:42" x14ac:dyDescent="0.3">
      <c r="A94" s="483">
        <v>0</v>
      </c>
      <c r="B94" s="483"/>
      <c r="C94" s="483" t="s">
        <v>691</v>
      </c>
      <c r="D94" s="688">
        <v>1</v>
      </c>
      <c r="E94" s="315">
        <v>0</v>
      </c>
      <c r="F94" s="315">
        <v>100</v>
      </c>
      <c r="G94" s="315">
        <v>0</v>
      </c>
      <c r="H94" s="340">
        <v>0</v>
      </c>
      <c r="I94" s="483" t="s">
        <v>865</v>
      </c>
      <c r="J94" s="360" t="s">
        <v>648</v>
      </c>
      <c r="K94" s="360" t="s">
        <v>871</v>
      </c>
      <c r="L94" s="360" t="s">
        <v>868</v>
      </c>
      <c r="M94" s="374">
        <v>64.47</v>
      </c>
      <c r="N94" s="442">
        <f>_xlfn.XLOOKUP(K94,'Utslippsfaktorer Transport'!$A$27:$A$29,'Utslippsfaktorer Transport'!$F$27:$F$29)</f>
        <v>17.5</v>
      </c>
      <c r="O94" s="902">
        <f>_xlfn.XLOOKUP(L94,'Utslippsfaktorer Transport'!$A$23:$A$25,'Utslippsfaktorer Transport'!$C$23:$C$25)</f>
        <v>0</v>
      </c>
      <c r="P94" s="313"/>
      <c r="Q94" s="313"/>
      <c r="AG94" s="868" t="str">
        <f t="shared" si="0"/>
        <v>Skriv navn på vare her</v>
      </c>
      <c r="AH94" s="442">
        <f>E94*F94*_xlfn.XLOOKUP(I94,'Utslippsfaktorer Transport'!$A$9:$A$19,'Utslippsfaktorer Transport'!$B$9:$B$19)*_xlfn.XLOOKUP(J94,'Utslippsfaktorer Transport'!$A$33:$A$52,'Utslippsfaktorer Transport'!$B$33:$B$52)/1000/D94</f>
        <v>0</v>
      </c>
      <c r="AI94" s="442">
        <f>E94*F94*_xlfn.XLOOKUP(I94,'Utslippsfaktorer Transport'!$A$9:$A$19,'Utslippsfaktorer Transport'!$B$9:$B$19)*_xlfn.XLOOKUP(J94,'Utslippsfaktorer Transport'!$A$33:$A$52,'Utslippsfaktorer Transport'!$C$33:$C$52)/1000/D94</f>
        <v>0</v>
      </c>
      <c r="AJ94" s="442">
        <f>E94*F94*_xlfn.XLOOKUP(I94,'Utslippsfaktorer Transport'!$A$9:$A$19,'Utslippsfaktorer Transport'!$B$9:$B$19)*_xlfn.XLOOKUP(J94,'Utslippsfaktorer Transport'!$A$33:$A$52,'Utslippsfaktorer Transport'!$D$33:$D$52)/1000/D94</f>
        <v>0</v>
      </c>
      <c r="AK94" s="904">
        <f>E94*G94*_xlfn.XLOOKUP(K94,'Utslippsfaktorer Transport'!$A$26:$A$29,'Utslippsfaktorer Transport'!$F$26:$F$29)/1000/D94</f>
        <v>0</v>
      </c>
      <c r="AL94" s="904">
        <f>E94*G94*_xlfn.XLOOKUP(K94,'Utslippsfaktorer Transport'!$A$26:$A$29,'Utslippsfaktorer Transport'!$G$26:$G$29)/1000/D94</f>
        <v>0</v>
      </c>
      <c r="AM94" s="904">
        <f>E94*G94*_xlfn.XLOOKUP(K94,'Utslippsfaktorer Transport'!$A$26:$A$29,'Utslippsfaktorer Transport'!$H$26:$H$29)/1000/D94</f>
        <v>0</v>
      </c>
      <c r="AN94" s="442">
        <f>H94*E94*_xlfn.XLOOKUP(L94,'Utslippsfaktorer Transport'!$A$23:$A$25,'Utslippsfaktorer Transport'!$C$23:$C$25)/1000/D94</f>
        <v>0</v>
      </c>
      <c r="AO94" s="442">
        <f>H94*E94*_xlfn.XLOOKUP(L94,'Utslippsfaktorer Transport'!$A$23:$A$25,'Utslippsfaktorer Transport'!$D$23:$D$25)/1000/D94</f>
        <v>0</v>
      </c>
      <c r="AP94" s="902">
        <f>H94*E94*_xlfn.XLOOKUP(L94,'Utslippsfaktorer Transport'!$A$23:$A$25,'Utslippsfaktorer Transport'!$E$23:$E$25)/1000/D94</f>
        <v>0</v>
      </c>
    </row>
    <row r="95" spans="1:42" x14ac:dyDescent="0.3">
      <c r="A95" s="483">
        <v>0</v>
      </c>
      <c r="B95" s="483"/>
      <c r="C95" s="483" t="s">
        <v>691</v>
      </c>
      <c r="D95" s="688">
        <v>1</v>
      </c>
      <c r="E95" s="315">
        <v>0</v>
      </c>
      <c r="F95" s="315">
        <v>100</v>
      </c>
      <c r="G95" s="315">
        <v>0</v>
      </c>
      <c r="H95" s="340">
        <v>0</v>
      </c>
      <c r="I95" s="483" t="s">
        <v>865</v>
      </c>
      <c r="J95" s="360" t="s">
        <v>648</v>
      </c>
      <c r="K95" s="360" t="s">
        <v>871</v>
      </c>
      <c r="L95" s="360" t="s">
        <v>868</v>
      </c>
      <c r="M95" s="374">
        <v>64.47</v>
      </c>
      <c r="N95" s="442">
        <f>_xlfn.XLOOKUP(K95,'Utslippsfaktorer Transport'!$A$27:$A$29,'Utslippsfaktorer Transport'!$F$27:$F$29)</f>
        <v>17.5</v>
      </c>
      <c r="O95" s="902">
        <f>_xlfn.XLOOKUP(L95,'Utslippsfaktorer Transport'!$A$23:$A$25,'Utslippsfaktorer Transport'!$C$23:$C$25)</f>
        <v>0</v>
      </c>
      <c r="P95" s="313"/>
      <c r="Q95" s="313"/>
      <c r="AG95" s="868" t="str">
        <f t="shared" si="0"/>
        <v>Skriv navn på vare her</v>
      </c>
      <c r="AH95" s="442">
        <f>E95*F95*_xlfn.XLOOKUP(I95,'Utslippsfaktorer Transport'!$A$9:$A$19,'Utslippsfaktorer Transport'!$B$9:$B$19)*_xlfn.XLOOKUP(J95,'Utslippsfaktorer Transport'!$A$33:$A$52,'Utslippsfaktorer Transport'!$B$33:$B$52)/1000/D95</f>
        <v>0</v>
      </c>
      <c r="AI95" s="442">
        <f>E95*F95*_xlfn.XLOOKUP(I95,'Utslippsfaktorer Transport'!$A$9:$A$19,'Utslippsfaktorer Transport'!$B$9:$B$19)*_xlfn.XLOOKUP(J95,'Utslippsfaktorer Transport'!$A$33:$A$52,'Utslippsfaktorer Transport'!$C$33:$C$52)/1000/D95</f>
        <v>0</v>
      </c>
      <c r="AJ95" s="442">
        <f>E95*F95*_xlfn.XLOOKUP(I95,'Utslippsfaktorer Transport'!$A$9:$A$19,'Utslippsfaktorer Transport'!$B$9:$B$19)*_xlfn.XLOOKUP(J95,'Utslippsfaktorer Transport'!$A$33:$A$52,'Utslippsfaktorer Transport'!$D$33:$D$52)/1000/D95</f>
        <v>0</v>
      </c>
      <c r="AK95" s="904">
        <f>E95*G95*_xlfn.XLOOKUP(K95,'Utslippsfaktorer Transport'!$A$26:$A$29,'Utslippsfaktorer Transport'!$F$26:$F$29)/1000/D95</f>
        <v>0</v>
      </c>
      <c r="AL95" s="904">
        <f>E95*G95*_xlfn.XLOOKUP(K95,'Utslippsfaktorer Transport'!$A$26:$A$29,'Utslippsfaktorer Transport'!$G$26:$G$29)/1000/D95</f>
        <v>0</v>
      </c>
      <c r="AM95" s="904">
        <f>E95*G95*_xlfn.XLOOKUP(K95,'Utslippsfaktorer Transport'!$A$26:$A$29,'Utslippsfaktorer Transport'!$H$26:$H$29)/1000/D95</f>
        <v>0</v>
      </c>
      <c r="AN95" s="442">
        <f>H95*E95*_xlfn.XLOOKUP(L95,'Utslippsfaktorer Transport'!$A$23:$A$25,'Utslippsfaktorer Transport'!$C$23:$C$25)/1000/D95</f>
        <v>0</v>
      </c>
      <c r="AO95" s="442">
        <f>H95*E95*_xlfn.XLOOKUP(L95,'Utslippsfaktorer Transport'!$A$23:$A$25,'Utslippsfaktorer Transport'!$D$23:$D$25)/1000/D95</f>
        <v>0</v>
      </c>
      <c r="AP95" s="902">
        <f>H95*E95*_xlfn.XLOOKUP(L95,'Utslippsfaktorer Transport'!$A$23:$A$25,'Utslippsfaktorer Transport'!$E$23:$E$25)/1000/D95</f>
        <v>0</v>
      </c>
    </row>
    <row r="96" spans="1:42" x14ac:dyDescent="0.3">
      <c r="A96" s="483">
        <v>0</v>
      </c>
      <c r="B96" s="483"/>
      <c r="C96" s="483" t="s">
        <v>691</v>
      </c>
      <c r="D96" s="688">
        <v>1</v>
      </c>
      <c r="E96" s="315">
        <v>0</v>
      </c>
      <c r="F96" s="315">
        <v>100</v>
      </c>
      <c r="G96" s="315">
        <v>0</v>
      </c>
      <c r="H96" s="340">
        <v>0</v>
      </c>
      <c r="I96" s="483" t="s">
        <v>865</v>
      </c>
      <c r="J96" s="360" t="s">
        <v>648</v>
      </c>
      <c r="K96" s="360" t="s">
        <v>871</v>
      </c>
      <c r="L96" s="360" t="s">
        <v>868</v>
      </c>
      <c r="M96" s="374">
        <v>64.47</v>
      </c>
      <c r="N96" s="442">
        <f>_xlfn.XLOOKUP(K96,'Utslippsfaktorer Transport'!$A$27:$A$29,'Utslippsfaktorer Transport'!$F$27:$F$29)</f>
        <v>17.5</v>
      </c>
      <c r="O96" s="902">
        <f>_xlfn.XLOOKUP(L96,'Utslippsfaktorer Transport'!$A$23:$A$25,'Utslippsfaktorer Transport'!$C$23:$C$25)</f>
        <v>0</v>
      </c>
      <c r="P96" s="313"/>
      <c r="Q96" s="313"/>
      <c r="AG96" s="868" t="str">
        <f t="shared" si="0"/>
        <v>Skriv navn på vare her</v>
      </c>
      <c r="AH96" s="442">
        <f>E96*F96*_xlfn.XLOOKUP(I96,'Utslippsfaktorer Transport'!$A$9:$A$19,'Utslippsfaktorer Transport'!$B$9:$B$19)*_xlfn.XLOOKUP(J96,'Utslippsfaktorer Transport'!$A$33:$A$52,'Utslippsfaktorer Transport'!$B$33:$B$52)/1000/D96</f>
        <v>0</v>
      </c>
      <c r="AI96" s="442">
        <f>E96*F96*_xlfn.XLOOKUP(I96,'Utslippsfaktorer Transport'!$A$9:$A$19,'Utslippsfaktorer Transport'!$B$9:$B$19)*_xlfn.XLOOKUP(J96,'Utslippsfaktorer Transport'!$A$33:$A$52,'Utslippsfaktorer Transport'!$C$33:$C$52)/1000/D96</f>
        <v>0</v>
      </c>
      <c r="AJ96" s="442">
        <f>E96*F96*_xlfn.XLOOKUP(I96,'Utslippsfaktorer Transport'!$A$9:$A$19,'Utslippsfaktorer Transport'!$B$9:$B$19)*_xlfn.XLOOKUP(J96,'Utslippsfaktorer Transport'!$A$33:$A$52,'Utslippsfaktorer Transport'!$D$33:$D$52)/1000/D96</f>
        <v>0</v>
      </c>
      <c r="AK96" s="904">
        <f>E96*G96*_xlfn.XLOOKUP(K96,'Utslippsfaktorer Transport'!$A$26:$A$29,'Utslippsfaktorer Transport'!$F$26:$F$29)/1000/D96</f>
        <v>0</v>
      </c>
      <c r="AL96" s="904">
        <f>E96*G96*_xlfn.XLOOKUP(K96,'Utslippsfaktorer Transport'!$A$26:$A$29,'Utslippsfaktorer Transport'!$G$26:$G$29)/1000/D96</f>
        <v>0</v>
      </c>
      <c r="AM96" s="904">
        <f>E96*G96*_xlfn.XLOOKUP(K96,'Utslippsfaktorer Transport'!$A$26:$A$29,'Utslippsfaktorer Transport'!$H$26:$H$29)/1000/D96</f>
        <v>0</v>
      </c>
      <c r="AN96" s="442">
        <f>H96*E96*_xlfn.XLOOKUP(L96,'Utslippsfaktorer Transport'!$A$23:$A$25,'Utslippsfaktorer Transport'!$C$23:$C$25)/1000/D96</f>
        <v>0</v>
      </c>
      <c r="AO96" s="442">
        <f>H96*E96*_xlfn.XLOOKUP(L96,'Utslippsfaktorer Transport'!$A$23:$A$25,'Utslippsfaktorer Transport'!$D$23:$D$25)/1000/D96</f>
        <v>0</v>
      </c>
      <c r="AP96" s="902">
        <f>H96*E96*_xlfn.XLOOKUP(L96,'Utslippsfaktorer Transport'!$A$23:$A$25,'Utslippsfaktorer Transport'!$E$23:$E$25)/1000/D96</f>
        <v>0</v>
      </c>
    </row>
    <row r="97" spans="1:42" x14ac:dyDescent="0.3">
      <c r="A97" s="483">
        <v>0</v>
      </c>
      <c r="B97" s="483"/>
      <c r="C97" s="483" t="s">
        <v>691</v>
      </c>
      <c r="D97" s="688">
        <v>1</v>
      </c>
      <c r="E97" s="315">
        <v>0</v>
      </c>
      <c r="F97" s="315">
        <v>100</v>
      </c>
      <c r="G97" s="315">
        <v>0</v>
      </c>
      <c r="H97" s="340">
        <v>0</v>
      </c>
      <c r="I97" s="483" t="s">
        <v>865</v>
      </c>
      <c r="J97" s="360" t="s">
        <v>648</v>
      </c>
      <c r="K97" s="360" t="s">
        <v>871</v>
      </c>
      <c r="L97" s="360" t="s">
        <v>868</v>
      </c>
      <c r="M97" s="374">
        <v>64.47</v>
      </c>
      <c r="N97" s="442">
        <f>_xlfn.XLOOKUP(K97,'Utslippsfaktorer Transport'!$A$27:$A$29,'Utslippsfaktorer Transport'!$F$27:$F$29)</f>
        <v>17.5</v>
      </c>
      <c r="O97" s="902">
        <f>_xlfn.XLOOKUP(L97,'Utslippsfaktorer Transport'!$A$23:$A$25,'Utslippsfaktorer Transport'!$C$23:$C$25)</f>
        <v>0</v>
      </c>
      <c r="P97" s="313"/>
      <c r="Q97" s="313"/>
      <c r="AG97" s="868" t="str">
        <f t="shared" si="0"/>
        <v>Skriv navn på vare her</v>
      </c>
      <c r="AH97" s="442">
        <f>E97*F97*_xlfn.XLOOKUP(I97,'Utslippsfaktorer Transport'!$A$9:$A$19,'Utslippsfaktorer Transport'!$B$9:$B$19)*_xlfn.XLOOKUP(J97,'Utslippsfaktorer Transport'!$A$33:$A$52,'Utslippsfaktorer Transport'!$B$33:$B$52)/1000/D97</f>
        <v>0</v>
      </c>
      <c r="AI97" s="442">
        <f>E97*F97*_xlfn.XLOOKUP(I97,'Utslippsfaktorer Transport'!$A$9:$A$19,'Utslippsfaktorer Transport'!$B$9:$B$19)*_xlfn.XLOOKUP(J97,'Utslippsfaktorer Transport'!$A$33:$A$52,'Utslippsfaktorer Transport'!$C$33:$C$52)/1000/D97</f>
        <v>0</v>
      </c>
      <c r="AJ97" s="442">
        <f>E97*F97*_xlfn.XLOOKUP(I97,'Utslippsfaktorer Transport'!$A$9:$A$19,'Utslippsfaktorer Transport'!$B$9:$B$19)*_xlfn.XLOOKUP(J97,'Utslippsfaktorer Transport'!$A$33:$A$52,'Utslippsfaktorer Transport'!$D$33:$D$52)/1000/D97</f>
        <v>0</v>
      </c>
      <c r="AK97" s="904">
        <f>E97*G97*_xlfn.XLOOKUP(K97,'Utslippsfaktorer Transport'!$A$26:$A$29,'Utslippsfaktorer Transport'!$F$26:$F$29)/1000/D97</f>
        <v>0</v>
      </c>
      <c r="AL97" s="904">
        <f>E97*G97*_xlfn.XLOOKUP(K97,'Utslippsfaktorer Transport'!$A$26:$A$29,'Utslippsfaktorer Transport'!$G$26:$G$29)/1000/D97</f>
        <v>0</v>
      </c>
      <c r="AM97" s="904">
        <f>E97*G97*_xlfn.XLOOKUP(K97,'Utslippsfaktorer Transport'!$A$26:$A$29,'Utslippsfaktorer Transport'!$H$26:$H$29)/1000/D97</f>
        <v>0</v>
      </c>
      <c r="AN97" s="442">
        <f>H97*E97*_xlfn.XLOOKUP(L97,'Utslippsfaktorer Transport'!$A$23:$A$25,'Utslippsfaktorer Transport'!$C$23:$C$25)/1000/D97</f>
        <v>0</v>
      </c>
      <c r="AO97" s="442">
        <f>H97*E97*_xlfn.XLOOKUP(L97,'Utslippsfaktorer Transport'!$A$23:$A$25,'Utslippsfaktorer Transport'!$D$23:$D$25)/1000/D97</f>
        <v>0</v>
      </c>
      <c r="AP97" s="902">
        <f>H97*E97*_xlfn.XLOOKUP(L97,'Utslippsfaktorer Transport'!$A$23:$A$25,'Utslippsfaktorer Transport'!$E$23:$E$25)/1000/D97</f>
        <v>0</v>
      </c>
    </row>
    <row r="98" spans="1:42" ht="15" thickBot="1" x14ac:dyDescent="0.35">
      <c r="A98" s="365">
        <v>0</v>
      </c>
      <c r="B98" s="365"/>
      <c r="C98" s="365" t="s">
        <v>691</v>
      </c>
      <c r="D98" s="693">
        <v>1</v>
      </c>
      <c r="E98" s="319">
        <v>0</v>
      </c>
      <c r="F98" s="319">
        <v>100</v>
      </c>
      <c r="G98" s="319">
        <v>0</v>
      </c>
      <c r="H98" s="352">
        <v>0</v>
      </c>
      <c r="I98" s="365" t="s">
        <v>865</v>
      </c>
      <c r="J98" s="329" t="s">
        <v>648</v>
      </c>
      <c r="K98" s="329" t="s">
        <v>871</v>
      </c>
      <c r="L98" s="329" t="s">
        <v>868</v>
      </c>
      <c r="M98" s="411">
        <v>64.47</v>
      </c>
      <c r="N98" s="441">
        <f>_xlfn.XLOOKUP(K98,'Utslippsfaktorer Transport'!$A$27:$A$29,'Utslippsfaktorer Transport'!$F$27:$F$29)</f>
        <v>17.5</v>
      </c>
      <c r="O98" s="903">
        <f>_xlfn.XLOOKUP(L98,'Utslippsfaktorer Transport'!$A$23:$A$25,'Utslippsfaktorer Transport'!$C$23:$C$25)</f>
        <v>0</v>
      </c>
      <c r="P98" s="313"/>
      <c r="Q98" s="313"/>
      <c r="AG98" s="915" t="str">
        <f t="shared" si="0"/>
        <v>Skriv navn på vare her</v>
      </c>
      <c r="AH98" s="441">
        <f>E98*F98*_xlfn.XLOOKUP(I98,'Utslippsfaktorer Transport'!$A$9:$A$19,'Utslippsfaktorer Transport'!$B$9:$B$19)*_xlfn.XLOOKUP(J98,'Utslippsfaktorer Transport'!$A$33:$A$52,'Utslippsfaktorer Transport'!$B$33:$B$52)/1000/D98</f>
        <v>0</v>
      </c>
      <c r="AI98" s="441">
        <f>E98*F98*_xlfn.XLOOKUP(I98,'Utslippsfaktorer Transport'!$A$9:$A$19,'Utslippsfaktorer Transport'!$B$9:$B$19)*_xlfn.XLOOKUP(J98,'Utslippsfaktorer Transport'!$A$33:$A$52,'Utslippsfaktorer Transport'!$C$33:$C$52)/1000/D98</f>
        <v>0</v>
      </c>
      <c r="AJ98" s="441">
        <f>E98*F98*_xlfn.XLOOKUP(I98,'Utslippsfaktorer Transport'!$A$9:$A$19,'Utslippsfaktorer Transport'!$B$9:$B$19)*_xlfn.XLOOKUP(J98,'Utslippsfaktorer Transport'!$A$33:$A$52,'Utslippsfaktorer Transport'!$D$33:$D$52)/1000/D98</f>
        <v>0</v>
      </c>
      <c r="AK98" s="905">
        <f>E98*G98*_xlfn.XLOOKUP(K98,'Utslippsfaktorer Transport'!$A$26:$A$29,'Utslippsfaktorer Transport'!$F$26:$F$29)/1000/D98</f>
        <v>0</v>
      </c>
      <c r="AL98" s="905">
        <f>E98*G98*_xlfn.XLOOKUP(K98,'Utslippsfaktorer Transport'!$A$26:$A$29,'Utslippsfaktorer Transport'!$G$26:$G$29)/1000/D98</f>
        <v>0</v>
      </c>
      <c r="AM98" s="905">
        <f>E98*G98*_xlfn.XLOOKUP(K98,'Utslippsfaktorer Transport'!$A$26:$A$29,'Utslippsfaktorer Transport'!$H$26:$H$29)/1000/D98</f>
        <v>0</v>
      </c>
      <c r="AN98" s="441">
        <f>H98*E98*_xlfn.XLOOKUP(L98,'Utslippsfaktorer Transport'!$A$23:$A$25,'Utslippsfaktorer Transport'!$C$23:$C$25)/1000/D98</f>
        <v>0</v>
      </c>
      <c r="AO98" s="441">
        <f>H98*E98*_xlfn.XLOOKUP(L98,'Utslippsfaktorer Transport'!$A$23:$A$25,'Utslippsfaktorer Transport'!$D$23:$D$25)/1000/D98</f>
        <v>0</v>
      </c>
      <c r="AP98" s="903">
        <f>H98*E98*_xlfn.XLOOKUP(L98,'Utslippsfaktorer Transport'!$A$23:$A$25,'Utslippsfaktorer Transport'!$E$23:$E$25)/1000/D98</f>
        <v>0</v>
      </c>
    </row>
    <row r="99" spans="1:42" ht="15" thickBot="1" x14ac:dyDescent="0.35">
      <c r="AK99" s="660"/>
      <c r="AL99" s="660"/>
      <c r="AM99" s="660"/>
    </row>
    <row r="100" spans="1:42" ht="15.6" outlineLevel="1" x14ac:dyDescent="0.3">
      <c r="A100" s="310" t="s">
        <v>777</v>
      </c>
      <c r="B100" s="335"/>
      <c r="C100" s="695" t="s">
        <v>692</v>
      </c>
      <c r="D100" s="684"/>
      <c r="E100" s="656" t="s">
        <v>321</v>
      </c>
      <c r="F100" s="307" t="s">
        <v>669</v>
      </c>
      <c r="G100" s="694" t="s">
        <v>667</v>
      </c>
      <c r="H100" s="419" t="s">
        <v>670</v>
      </c>
      <c r="I100" s="378" t="s">
        <v>891</v>
      </c>
      <c r="J100" s="307" t="s">
        <v>892</v>
      </c>
      <c r="K100" s="307" t="s">
        <v>893</v>
      </c>
      <c r="L100" s="307" t="s">
        <v>890</v>
      </c>
      <c r="M100" s="307" t="s">
        <v>894</v>
      </c>
      <c r="N100" s="307" t="s">
        <v>895</v>
      </c>
      <c r="O100" s="419" t="s">
        <v>901</v>
      </c>
      <c r="P100" s="458"/>
      <c r="Q100" s="458"/>
      <c r="R100" s="458"/>
      <c r="S100" s="458"/>
      <c r="T100" s="459"/>
      <c r="AG100" s="695" t="s">
        <v>692</v>
      </c>
      <c r="AH100" s="458"/>
      <c r="AI100" s="458"/>
      <c r="AJ100" s="458"/>
      <c r="AK100" s="713"/>
      <c r="AL100" s="713"/>
      <c r="AM100" s="713"/>
      <c r="AN100" s="458"/>
      <c r="AO100" s="458"/>
      <c r="AP100" s="459"/>
    </row>
    <row r="101" spans="1:42" outlineLevel="1" x14ac:dyDescent="0.3">
      <c r="A101" s="315">
        <v>0</v>
      </c>
      <c r="B101" s="405"/>
      <c r="C101" s="301" t="s">
        <v>329</v>
      </c>
      <c r="E101" s="315">
        <v>0</v>
      </c>
      <c r="F101" s="339">
        <v>0</v>
      </c>
      <c r="G101" s="339">
        <v>0</v>
      </c>
      <c r="H101" s="696">
        <v>0</v>
      </c>
      <c r="I101" s="483" t="s">
        <v>865</v>
      </c>
      <c r="J101" s="360" t="s">
        <v>648</v>
      </c>
      <c r="K101" s="360" t="s">
        <v>871</v>
      </c>
      <c r="L101" s="360" t="s">
        <v>868</v>
      </c>
      <c r="M101" s="374">
        <v>64.47</v>
      </c>
      <c r="N101" s="442">
        <f>_xlfn.XLOOKUP(K101,'Utslippsfaktorer Transport'!$A$27:$A$29,'Utslippsfaktorer Transport'!$F$27:$F$29)</f>
        <v>17.5</v>
      </c>
      <c r="O101" s="902">
        <f>_xlfn.XLOOKUP(L101,'Utslippsfaktorer Transport'!$A$23:$A$25,'Utslippsfaktorer Transport'!$C$23:$C$25)</f>
        <v>0</v>
      </c>
      <c r="T101" s="316"/>
      <c r="AG101" s="373" t="s">
        <v>329</v>
      </c>
      <c r="AH101" s="442">
        <f>E101*F101*_xlfn.XLOOKUP(I101,'Utslippsfaktorer Transport'!$A$9:$A$19,'Utslippsfaktorer Transport'!$B$9:$B$19)*_xlfn.XLOOKUP(J101,'Utslippsfaktorer Transport'!$A$33:$A$52,'Utslippsfaktorer Transport'!$B$33:$B$52)/1000</f>
        <v>0</v>
      </c>
      <c r="AI101" s="442">
        <f>E101*F101*_xlfn.XLOOKUP(I101,'Utslippsfaktorer Transport'!$A$9:$A$19,'Utslippsfaktorer Transport'!$B$9:$B$19)*_xlfn.XLOOKUP(J101,'Utslippsfaktorer Transport'!$A$33:$A$52,'Utslippsfaktorer Transport'!$C$33:$C$52)/1000</f>
        <v>0</v>
      </c>
      <c r="AJ101" s="442">
        <f>E101*F101*_xlfn.XLOOKUP(I101,'Utslippsfaktorer Transport'!$A$9:$A$19,'Utslippsfaktorer Transport'!$B$9:$B$19)*_xlfn.XLOOKUP(J101,'Utslippsfaktorer Transport'!$A$33:$A$52,'Utslippsfaktorer Transport'!$D$33:$D$52)/1000</f>
        <v>0</v>
      </c>
      <c r="AK101" s="904">
        <f>E101*G101*_xlfn.XLOOKUP(K101,'Utslippsfaktorer Transport'!$A$26:$A$29,'Utslippsfaktorer Transport'!$F$26:$F$29)/1000</f>
        <v>0</v>
      </c>
      <c r="AL101" s="904">
        <f>E101*G101*_xlfn.XLOOKUP(K101,'Utslippsfaktorer Transport'!$A$26:$A$29,'Utslippsfaktorer Transport'!$G$26:$G$29)/1000</f>
        <v>0</v>
      </c>
      <c r="AM101" s="904">
        <f>E101*G101*_xlfn.XLOOKUP(K101,'Utslippsfaktorer Transport'!$A$26:$A$29,'Utslippsfaktorer Transport'!$H$26:$H$29)/1000</f>
        <v>0</v>
      </c>
      <c r="AN101" s="442">
        <f>H101*E101*_xlfn.XLOOKUP(L101,'Utslippsfaktorer Transport'!$A$23:$A$25,'Utslippsfaktorer Transport'!$C$23:$C$25)/1000</f>
        <v>0</v>
      </c>
      <c r="AO101" s="442">
        <f>H101*E101*_xlfn.XLOOKUP(L101,'Utslippsfaktorer Transport'!$A$23:$A$25,'Utslippsfaktorer Transport'!$D$23:$D$25)/1000</f>
        <v>0</v>
      </c>
      <c r="AP101" s="902">
        <f>H101*E101*_xlfn.XLOOKUP(L101,'Utslippsfaktorer Transport'!$A$23:$A$25,'Utslippsfaktorer Transport'!$E$23:$E$25)/1000</f>
        <v>0</v>
      </c>
    </row>
    <row r="102" spans="1:42" outlineLevel="1" x14ac:dyDescent="0.3">
      <c r="A102" s="315">
        <v>0</v>
      </c>
      <c r="B102" s="405"/>
      <c r="C102" s="301" t="s">
        <v>328</v>
      </c>
      <c r="E102" s="315">
        <v>0</v>
      </c>
      <c r="F102" s="315">
        <v>0</v>
      </c>
      <c r="G102" s="315">
        <v>0</v>
      </c>
      <c r="H102" s="361">
        <v>0</v>
      </c>
      <c r="I102" s="483" t="s">
        <v>865</v>
      </c>
      <c r="J102" s="360" t="s">
        <v>648</v>
      </c>
      <c r="K102" s="360" t="s">
        <v>871</v>
      </c>
      <c r="L102" s="360" t="s">
        <v>868</v>
      </c>
      <c r="M102" s="374">
        <v>64.47</v>
      </c>
      <c r="N102" s="442">
        <f>_xlfn.XLOOKUP(K102,'Utslippsfaktorer Transport'!$A$27:$A$29,'Utslippsfaktorer Transport'!$F$27:$F$29)</f>
        <v>17.5</v>
      </c>
      <c r="O102" s="902">
        <f>_xlfn.XLOOKUP(L102,'Utslippsfaktorer Transport'!$A$23:$A$25,'Utslippsfaktorer Transport'!$C$23:$C$25)</f>
        <v>0</v>
      </c>
      <c r="T102" s="316"/>
      <c r="AG102" s="373" t="s">
        <v>328</v>
      </c>
      <c r="AH102" s="442">
        <f>E102*F102*_xlfn.XLOOKUP(I102,'Utslippsfaktorer Transport'!$A$9:$A$19,'Utslippsfaktorer Transport'!$B$9:$B$19)*_xlfn.XLOOKUP(J102,'Utslippsfaktorer Transport'!$A$33:$A$52,'Utslippsfaktorer Transport'!$B$33:$B$52)/1000</f>
        <v>0</v>
      </c>
      <c r="AI102" s="442">
        <f>E102*F102*_xlfn.XLOOKUP(I102,'Utslippsfaktorer Transport'!$A$9:$A$19,'Utslippsfaktorer Transport'!$B$9:$B$19)*_xlfn.XLOOKUP(J102,'Utslippsfaktorer Transport'!$A$33:$A$52,'Utslippsfaktorer Transport'!$C$33:$C$52)/1000</f>
        <v>0</v>
      </c>
      <c r="AJ102" s="442">
        <f>E102*F102*_xlfn.XLOOKUP(I102,'Utslippsfaktorer Transport'!$A$9:$A$19,'Utslippsfaktorer Transport'!$B$9:$B$19)*_xlfn.XLOOKUP(J102,'Utslippsfaktorer Transport'!$A$33:$A$52,'Utslippsfaktorer Transport'!$D$33:$D$52)/1000</f>
        <v>0</v>
      </c>
      <c r="AK102" s="904">
        <f>E102*G102*_xlfn.XLOOKUP(K102,'Utslippsfaktorer Transport'!$A$26:$A$29,'Utslippsfaktorer Transport'!$F$26:$F$29)/1000</f>
        <v>0</v>
      </c>
      <c r="AL102" s="904">
        <f>E102*G102*_xlfn.XLOOKUP(K102,'Utslippsfaktorer Transport'!$A$26:$A$29,'Utslippsfaktorer Transport'!$G$26:$G$29)/1000</f>
        <v>0</v>
      </c>
      <c r="AM102" s="904">
        <f>E102*G102*_xlfn.XLOOKUP(K102,'Utslippsfaktorer Transport'!$A$26:$A$29,'Utslippsfaktorer Transport'!$H$26:$H$29)/1000</f>
        <v>0</v>
      </c>
      <c r="AN102" s="442">
        <f>H102*E102*_xlfn.XLOOKUP(L102,'Utslippsfaktorer Transport'!$A$23:$A$25,'Utslippsfaktorer Transport'!$C$23:$C$25)/1000</f>
        <v>0</v>
      </c>
      <c r="AO102" s="442">
        <f>H102*E102*_xlfn.XLOOKUP(L102,'Utslippsfaktorer Transport'!$A$23:$A$25,'Utslippsfaktorer Transport'!$D$23:$D$25)/1000</f>
        <v>0</v>
      </c>
      <c r="AP102" s="902">
        <f>H102*E102*_xlfn.XLOOKUP(L102,'Utslippsfaktorer Transport'!$A$23:$A$25,'Utslippsfaktorer Transport'!$E$23:$E$25)/1000</f>
        <v>0</v>
      </c>
    </row>
    <row r="103" spans="1:42" ht="15" outlineLevel="1" thickBot="1" x14ac:dyDescent="0.35">
      <c r="A103" s="319">
        <v>0</v>
      </c>
      <c r="B103" s="404"/>
      <c r="C103" s="318" t="s">
        <v>671</v>
      </c>
      <c r="D103" s="318"/>
      <c r="E103" s="319">
        <v>0</v>
      </c>
      <c r="F103" s="319">
        <v>0</v>
      </c>
      <c r="G103" s="319">
        <v>0</v>
      </c>
      <c r="H103" s="369">
        <v>0</v>
      </c>
      <c r="I103" s="365" t="s">
        <v>865</v>
      </c>
      <c r="J103" s="329" t="s">
        <v>648</v>
      </c>
      <c r="K103" s="329" t="s">
        <v>871</v>
      </c>
      <c r="L103" s="329" t="s">
        <v>868</v>
      </c>
      <c r="M103" s="411">
        <v>64.47</v>
      </c>
      <c r="N103" s="441">
        <f>_xlfn.XLOOKUP(K103,'Utslippsfaktorer Transport'!$A$27:$A$29,'Utslippsfaktorer Transport'!$F$27:$F$29)</f>
        <v>17.5</v>
      </c>
      <c r="O103" s="903">
        <f>_xlfn.XLOOKUP(L103,'Utslippsfaktorer Transport'!$A$23:$A$25,'Utslippsfaktorer Transport'!$C$23:$C$25)</f>
        <v>0</v>
      </c>
      <c r="P103" s="318"/>
      <c r="Q103" s="318"/>
      <c r="R103" s="318"/>
      <c r="S103" s="318"/>
      <c r="T103" s="320"/>
      <c r="AG103" s="376" t="s">
        <v>671</v>
      </c>
      <c r="AH103" s="441">
        <f>E103*F103*_xlfn.XLOOKUP(I103,'Utslippsfaktorer Transport'!$A$9:$A$19,'Utslippsfaktorer Transport'!$B$9:$B$19)*_xlfn.XLOOKUP(J103,'Utslippsfaktorer Transport'!$A$33:$A$52,'Utslippsfaktorer Transport'!$B$33:$B$52)/1000</f>
        <v>0</v>
      </c>
      <c r="AI103" s="441">
        <f>E103*F103*_xlfn.XLOOKUP(I103,'Utslippsfaktorer Transport'!$A$9:$A$19,'Utslippsfaktorer Transport'!$B$9:$B$19)*_xlfn.XLOOKUP(J103,'Utslippsfaktorer Transport'!$A$33:$A$52,'Utslippsfaktorer Transport'!$C$33:$C$52)/1000</f>
        <v>0</v>
      </c>
      <c r="AJ103" s="441">
        <f>E103*F103*_xlfn.XLOOKUP(I103,'Utslippsfaktorer Transport'!$A$9:$A$19,'Utslippsfaktorer Transport'!$B$9:$B$19)*_xlfn.XLOOKUP(J103,'Utslippsfaktorer Transport'!$A$33:$A$52,'Utslippsfaktorer Transport'!$D$33:$D$52)/1000</f>
        <v>0</v>
      </c>
      <c r="AK103" s="905">
        <f>E103*G103*_xlfn.XLOOKUP(K103,'Utslippsfaktorer Transport'!$A$26:$A$29,'Utslippsfaktorer Transport'!$F$26:$F$29)/1000</f>
        <v>0</v>
      </c>
      <c r="AL103" s="905">
        <f>E103*G103*_xlfn.XLOOKUP(K103,'Utslippsfaktorer Transport'!$A$26:$A$29,'Utslippsfaktorer Transport'!$G$26:$G$29)/1000</f>
        <v>0</v>
      </c>
      <c r="AM103" s="905">
        <f>E103*G103*_xlfn.XLOOKUP(K103,'Utslippsfaktorer Transport'!$A$26:$A$29,'Utslippsfaktorer Transport'!$H$26:$H$29)/1000</f>
        <v>0</v>
      </c>
      <c r="AN103" s="441">
        <f>H103*E103*_xlfn.XLOOKUP(L103,'Utslippsfaktorer Transport'!$A$23:$A$25,'Utslippsfaktorer Transport'!$C$23:$C$25)/1000</f>
        <v>0</v>
      </c>
      <c r="AO103" s="441">
        <f>H103*E103*_xlfn.XLOOKUP(L103,'Utslippsfaktorer Transport'!$A$23:$A$25,'Utslippsfaktorer Transport'!$D$23:$D$25)/1000</f>
        <v>0</v>
      </c>
      <c r="AP103" s="903">
        <f>H103*E103*_xlfn.XLOOKUP(L103,'Utslippsfaktorer Transport'!$A$23:$A$25,'Utslippsfaktorer Transport'!$E$23:$E$25)/1000</f>
        <v>0</v>
      </c>
    </row>
    <row r="104" spans="1:42" ht="15" thickBot="1" x14ac:dyDescent="0.35">
      <c r="AK104" s="660"/>
      <c r="AL104" s="660"/>
      <c r="AM104" s="660"/>
    </row>
    <row r="105" spans="1:42" s="719" customFormat="1" x14ac:dyDescent="0.3">
      <c r="A105" s="714" t="s">
        <v>830</v>
      </c>
      <c r="B105" s="715"/>
      <c r="C105" s="716" t="s">
        <v>785</v>
      </c>
      <c r="D105" s="1163" t="s">
        <v>831</v>
      </c>
      <c r="E105" s="1164"/>
      <c r="F105" s="717" t="s">
        <v>786</v>
      </c>
      <c r="G105" s="718"/>
      <c r="H105" s="718"/>
      <c r="I105" s="718"/>
      <c r="J105" s="718"/>
      <c r="K105" s="718"/>
      <c r="L105" s="718"/>
      <c r="M105" s="718"/>
      <c r="N105" s="718"/>
      <c r="O105" s="718"/>
      <c r="AG105" s="720"/>
      <c r="AH105" s="301"/>
      <c r="AI105" s="301"/>
      <c r="AJ105" s="301"/>
      <c r="AK105" s="660"/>
      <c r="AL105" s="660"/>
      <c r="AM105" s="660"/>
      <c r="AN105" s="301"/>
      <c r="AO105" s="301"/>
      <c r="AP105" s="301"/>
    </row>
    <row r="106" spans="1:42" x14ac:dyDescent="0.3">
      <c r="A106" s="469" t="s">
        <v>612</v>
      </c>
      <c r="B106" s="313"/>
      <c r="C106" s="442">
        <f>SUM(A64:A85,A56:A60,A47:A53,A43:A44,A38:A41,A36,A33:A34,A31,A29,A27,A24:A25,A16:A20,A89:A98)</f>
        <v>0</v>
      </c>
      <c r="D106" s="1165">
        <v>0</v>
      </c>
      <c r="E106" s="1166"/>
      <c r="F106" s="902">
        <f>IF(D106=0,C106,D106)</f>
        <v>0</v>
      </c>
      <c r="G106" s="313"/>
      <c r="H106" s="313"/>
      <c r="I106" s="313"/>
      <c r="J106" s="313"/>
      <c r="K106" s="313"/>
      <c r="L106" s="313"/>
      <c r="M106" s="313"/>
      <c r="N106" s="313"/>
      <c r="O106" s="313"/>
      <c r="AK106" s="660"/>
      <c r="AL106" s="660"/>
      <c r="AM106" s="660"/>
    </row>
    <row r="107" spans="1:42" x14ac:dyDescent="0.3">
      <c r="A107" s="469" t="s">
        <v>613</v>
      </c>
      <c r="B107" s="313"/>
      <c r="C107" s="442">
        <f>SUM(A101:A103)</f>
        <v>0</v>
      </c>
      <c r="D107" s="1150">
        <v>0</v>
      </c>
      <c r="E107" s="1151"/>
      <c r="F107" s="902">
        <f>IF(D107=0,C107,D107)</f>
        <v>0</v>
      </c>
      <c r="G107" s="313"/>
      <c r="H107" s="313"/>
      <c r="I107" s="313"/>
      <c r="J107" s="313"/>
      <c r="K107" s="313"/>
      <c r="L107" s="313"/>
      <c r="M107" s="313"/>
      <c r="N107" s="313"/>
      <c r="O107" s="313"/>
      <c r="AK107" s="660"/>
      <c r="AL107" s="660"/>
      <c r="AM107" s="660"/>
    </row>
    <row r="108" spans="1:42" ht="15" thickBot="1" x14ac:dyDescent="0.35">
      <c r="A108" s="379" t="s">
        <v>307</v>
      </c>
      <c r="B108" s="318"/>
      <c r="C108" s="441">
        <f>SUM(B7:B12)</f>
        <v>0</v>
      </c>
      <c r="D108" s="1152">
        <v>0</v>
      </c>
      <c r="E108" s="1153"/>
      <c r="F108" s="903">
        <f>IF(D108=0,C108,D108)</f>
        <v>0</v>
      </c>
      <c r="G108" s="313"/>
      <c r="H108" s="313"/>
      <c r="I108" s="313"/>
      <c r="J108" s="313"/>
      <c r="K108" s="313"/>
      <c r="L108" s="313"/>
      <c r="M108" s="313"/>
      <c r="N108" s="313"/>
      <c r="O108" s="313"/>
      <c r="AK108" s="660"/>
      <c r="AL108" s="660"/>
      <c r="AM108" s="660"/>
    </row>
    <row r="110" spans="1:42" x14ac:dyDescent="0.3">
      <c r="B110" s="388" t="s">
        <v>375</v>
      </c>
      <c r="F110" s="388" t="s">
        <v>381</v>
      </c>
      <c r="G110" s="388"/>
      <c r="H110" s="388"/>
      <c r="I110" s="388"/>
      <c r="J110" s="388"/>
      <c r="K110" s="388"/>
      <c r="L110" s="388"/>
      <c r="M110" s="388"/>
      <c r="N110" s="388"/>
      <c r="O110" s="388"/>
      <c r="S110" s="388" t="s">
        <v>333</v>
      </c>
    </row>
    <row r="111" spans="1:42" x14ac:dyDescent="0.3">
      <c r="B111" s="388" t="s">
        <v>332</v>
      </c>
    </row>
  </sheetData>
  <sheetProtection algorithmName="SHA-512" hashValue="gyEqOmtxv/kitDbNafz8z0vCbDV+r5tfFd2C6ouWLd6tuMupySguR+t+yRWhn+EbjlQl0rYr9dER1LyFEyE7rQ==" saltValue="ol9Tri/vX3SHdkT7Fz90MQ==" spinCount="100000" sheet="1" objects="1" scenarios="1" formatColumns="0" formatRows="0"/>
  <mergeCells count="10">
    <mergeCell ref="B2:R3"/>
    <mergeCell ref="AN14:AP14"/>
    <mergeCell ref="AH14:AJ14"/>
    <mergeCell ref="D107:E107"/>
    <mergeCell ref="D108:E108"/>
    <mergeCell ref="F6:T12"/>
    <mergeCell ref="D105:E105"/>
    <mergeCell ref="D106:E106"/>
    <mergeCell ref="AK14:AM14"/>
    <mergeCell ref="A14:F14"/>
  </mergeCells>
  <conditionalFormatting sqref="B86 B13 B15:B54 B99:B102 B56:B63">
    <cfRule type="dataBar" priority="13">
      <dataBar showValue="0">
        <cfvo type="min"/>
        <cfvo type="max"/>
        <color theme="9"/>
      </dataBar>
      <extLst>
        <ext xmlns:x14="http://schemas.microsoft.com/office/spreadsheetml/2009/9/main" uri="{B025F937-C7B1-47D3-B67F-A62EFF666E3E}">
          <x14:id>{99F7627E-2DDF-4AF1-9C44-826F0CDFC4D1}</x14:id>
        </ext>
      </extLst>
    </cfRule>
  </conditionalFormatting>
  <conditionalFormatting sqref="B86 B13 B15:B54 B99:B103 B56:B63">
    <cfRule type="dataBar" priority="30">
      <dataBar showValue="0">
        <cfvo type="min"/>
        <cfvo type="max"/>
        <color theme="9"/>
      </dataBar>
      <extLst>
        <ext xmlns:x14="http://schemas.microsoft.com/office/spreadsheetml/2009/9/main" uri="{B025F937-C7B1-47D3-B67F-A62EFF666E3E}">
          <x14:id>{62257E72-1F67-4C57-8EAF-0BA947591C8D}</x14:id>
        </ext>
      </extLst>
    </cfRule>
    <cfRule type="dataBar" priority="31">
      <dataBar>
        <cfvo type="min"/>
        <cfvo type="max"/>
        <color rgb="FF63C384"/>
      </dataBar>
      <extLst>
        <ext xmlns:x14="http://schemas.microsoft.com/office/spreadsheetml/2009/9/main" uri="{B025F937-C7B1-47D3-B67F-A62EFF666E3E}">
          <x14:id>{6696B5E1-9AE3-41B3-8DE8-8137B6098157}</x14:id>
        </ext>
      </extLst>
    </cfRule>
  </conditionalFormatting>
  <conditionalFormatting sqref="B64:B85">
    <cfRule type="dataBar" priority="4">
      <dataBar showValue="0">
        <cfvo type="min"/>
        <cfvo type="max"/>
        <color theme="9"/>
      </dataBar>
      <extLst>
        <ext xmlns:x14="http://schemas.microsoft.com/office/spreadsheetml/2009/9/main" uri="{B025F937-C7B1-47D3-B67F-A62EFF666E3E}">
          <x14:id>{9B3C1D90-953E-4E27-BADE-AFA92AB79ED5}</x14:id>
        </ext>
      </extLst>
    </cfRule>
  </conditionalFormatting>
  <conditionalFormatting sqref="B64:B85">
    <cfRule type="dataBar" priority="5">
      <dataBar showValue="0">
        <cfvo type="min"/>
        <cfvo type="max"/>
        <color theme="9"/>
      </dataBar>
      <extLst>
        <ext xmlns:x14="http://schemas.microsoft.com/office/spreadsheetml/2009/9/main" uri="{B025F937-C7B1-47D3-B67F-A62EFF666E3E}">
          <x14:id>{DFBEF5D4-7816-4203-B0C0-BDEE605DA2A1}</x14:id>
        </ext>
      </extLst>
    </cfRule>
    <cfRule type="dataBar" priority="6">
      <dataBar>
        <cfvo type="min"/>
        <cfvo type="max"/>
        <color rgb="FF63C384"/>
      </dataBar>
      <extLst>
        <ext xmlns:x14="http://schemas.microsoft.com/office/spreadsheetml/2009/9/main" uri="{B025F937-C7B1-47D3-B67F-A62EFF666E3E}">
          <x14:id>{9EE63A49-7CEE-4049-959B-CAE453AECABE}</x14:id>
        </ext>
      </extLst>
    </cfRule>
  </conditionalFormatting>
  <conditionalFormatting sqref="B55">
    <cfRule type="dataBar" priority="1">
      <dataBar showValue="0">
        <cfvo type="min"/>
        <cfvo type="max"/>
        <color theme="9"/>
      </dataBar>
      <extLst>
        <ext xmlns:x14="http://schemas.microsoft.com/office/spreadsheetml/2009/9/main" uri="{B025F937-C7B1-47D3-B67F-A62EFF666E3E}">
          <x14:id>{00DD9DF5-5877-44CA-ACFD-6583F468BE9B}</x14:id>
        </ext>
      </extLst>
    </cfRule>
  </conditionalFormatting>
  <conditionalFormatting sqref="B55">
    <cfRule type="dataBar" priority="2">
      <dataBar showValue="0">
        <cfvo type="min"/>
        <cfvo type="max"/>
        <color theme="9"/>
      </dataBar>
      <extLst>
        <ext xmlns:x14="http://schemas.microsoft.com/office/spreadsheetml/2009/9/main" uri="{B025F937-C7B1-47D3-B67F-A62EFF666E3E}">
          <x14:id>{8A9AC4D5-5C3D-413B-A412-1803C2D3345D}</x14:id>
        </ext>
      </extLst>
    </cfRule>
    <cfRule type="dataBar" priority="3">
      <dataBar>
        <cfvo type="min"/>
        <cfvo type="max"/>
        <color rgb="FF63C384"/>
      </dataBar>
      <extLst>
        <ext xmlns:x14="http://schemas.microsoft.com/office/spreadsheetml/2009/9/main" uri="{B025F937-C7B1-47D3-B67F-A62EFF666E3E}">
          <x14:id>{2E7C1934-6553-43B9-A079-382D48C2E661}</x14:id>
        </ext>
      </extLst>
    </cfRule>
  </conditionalFormatting>
  <hyperlinks>
    <hyperlink ref="B110" location="Innledning!A1" display="Tilbake til forside" xr:uid="{00000000-0004-0000-0700-000000000000}"/>
    <hyperlink ref="F110" location="Sammendrag!A1" display="Sammendrag" xr:uid="{00000000-0004-0000-0700-000001000000}"/>
    <hyperlink ref="S110" location="'Avløp direkteutslipp og biogass'!A1" display="Metan og Lystgassutslipp" xr:uid="{00000000-0004-0000-0700-000002000000}"/>
    <hyperlink ref="B111" location="'Vann og Avløp-utslippsfaktorer'!A1" display="Utslippsfaktorer" xr:uid="{00000000-0004-0000-0700-000003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99F7627E-2DDF-4AF1-9C44-826F0CDFC4D1}">
            <x14:dataBar minLength="0" maxLength="100" gradient="0">
              <x14:cfvo type="autoMin"/>
              <x14:cfvo type="autoMax"/>
              <x14:negativeFillColor rgb="FFFF0000"/>
              <x14:axisColor rgb="FF000000"/>
            </x14:dataBar>
          </x14:cfRule>
          <xm:sqref>B86 B13 B15:B54 B99:B102 B56:B63</xm:sqref>
        </x14:conditionalFormatting>
        <x14:conditionalFormatting xmlns:xm="http://schemas.microsoft.com/office/excel/2006/main">
          <x14:cfRule type="dataBar" id="{62257E72-1F67-4C57-8EAF-0BA947591C8D}">
            <x14:dataBar minLength="0" maxLength="100" gradient="0">
              <x14:cfvo type="autoMin"/>
              <x14:cfvo type="autoMax"/>
              <x14:negativeFillColor rgb="FFFF0000"/>
              <x14:axisColor rgb="FF000000"/>
            </x14:dataBar>
          </x14:cfRule>
          <x14:cfRule type="dataBar" id="{6696B5E1-9AE3-41B3-8DE8-8137B6098157}">
            <x14:dataBar minLength="0" maxLength="100" border="1" negativeBarBorderColorSameAsPositive="0">
              <x14:cfvo type="autoMin"/>
              <x14:cfvo type="autoMax"/>
              <x14:borderColor rgb="FF63C384"/>
              <x14:negativeFillColor rgb="FFFF0000"/>
              <x14:negativeBorderColor rgb="FFFF0000"/>
              <x14:axisColor rgb="FF000000"/>
            </x14:dataBar>
          </x14:cfRule>
          <xm:sqref>B86 B13 B15:B54 B99:B103 B56:B63</xm:sqref>
        </x14:conditionalFormatting>
        <x14:conditionalFormatting xmlns:xm="http://schemas.microsoft.com/office/excel/2006/main">
          <x14:cfRule type="dataBar" id="{9B3C1D90-953E-4E27-BADE-AFA92AB79ED5}">
            <x14:dataBar minLength="0" maxLength="100" gradient="0">
              <x14:cfvo type="autoMin"/>
              <x14:cfvo type="autoMax"/>
              <x14:negativeFillColor rgb="FFFF0000"/>
              <x14:axisColor rgb="FF000000"/>
            </x14:dataBar>
          </x14:cfRule>
          <xm:sqref>B64:B85</xm:sqref>
        </x14:conditionalFormatting>
        <x14:conditionalFormatting xmlns:xm="http://schemas.microsoft.com/office/excel/2006/main">
          <x14:cfRule type="dataBar" id="{DFBEF5D4-7816-4203-B0C0-BDEE605DA2A1}">
            <x14:dataBar minLength="0" maxLength="100" gradient="0">
              <x14:cfvo type="autoMin"/>
              <x14:cfvo type="autoMax"/>
              <x14:negativeFillColor rgb="FFFF0000"/>
              <x14:axisColor rgb="FF000000"/>
            </x14:dataBar>
          </x14:cfRule>
          <x14:cfRule type="dataBar" id="{9EE63A49-7CEE-4049-959B-CAE453AECABE}">
            <x14:dataBar minLength="0" maxLength="100" border="1" negativeBarBorderColorSameAsPositive="0">
              <x14:cfvo type="autoMin"/>
              <x14:cfvo type="autoMax"/>
              <x14:borderColor rgb="FF63C384"/>
              <x14:negativeFillColor rgb="FFFF0000"/>
              <x14:negativeBorderColor rgb="FFFF0000"/>
              <x14:axisColor rgb="FF000000"/>
            </x14:dataBar>
          </x14:cfRule>
          <xm:sqref>B64:B85</xm:sqref>
        </x14:conditionalFormatting>
        <x14:conditionalFormatting xmlns:xm="http://schemas.microsoft.com/office/excel/2006/main">
          <x14:cfRule type="dataBar" id="{00DD9DF5-5877-44CA-ACFD-6583F468BE9B}">
            <x14:dataBar minLength="0" maxLength="100" gradient="0">
              <x14:cfvo type="autoMin"/>
              <x14:cfvo type="autoMax"/>
              <x14:negativeFillColor rgb="FFFF0000"/>
              <x14:axisColor rgb="FF000000"/>
            </x14:dataBar>
          </x14:cfRule>
          <xm:sqref>B55</xm:sqref>
        </x14:conditionalFormatting>
        <x14:conditionalFormatting xmlns:xm="http://schemas.microsoft.com/office/excel/2006/main">
          <x14:cfRule type="dataBar" id="{8A9AC4D5-5C3D-413B-A412-1803C2D3345D}">
            <x14:dataBar minLength="0" maxLength="100" gradient="0">
              <x14:cfvo type="autoMin"/>
              <x14:cfvo type="autoMax"/>
              <x14:negativeFillColor rgb="FFFF0000"/>
              <x14:axisColor rgb="FF000000"/>
            </x14:dataBar>
          </x14:cfRule>
          <x14:cfRule type="dataBar" id="{2E7C1934-6553-43B9-A079-382D48C2E661}">
            <x14:dataBar minLength="0" maxLength="100" border="1" negativeBarBorderColorSameAsPositive="0">
              <x14:cfvo type="autoMin"/>
              <x14:cfvo type="autoMax"/>
              <x14:borderColor rgb="FF63C384"/>
              <x14:negativeFillColor rgb="FFFF0000"/>
              <x14:negativeBorderColor rgb="FFFF0000"/>
              <x14:axisColor rgb="FF000000"/>
            </x14:dataBar>
          </x14:cfRule>
          <xm:sqref>B55</xm:sqref>
        </x14:conditionalFormatting>
      </x14:conditionalFormattings>
    </ext>
    <ext xmlns:x14="http://schemas.microsoft.com/office/spreadsheetml/2009/9/main" uri="{CCE6A557-97BC-4b89-ADB6-D9C93CAAB3DF}">
      <x14:dataValidations xmlns:xm="http://schemas.microsoft.com/office/excel/2006/main" disablePrompts="1" count="4">
        <x14:dataValidation type="list" allowBlank="1" showInputMessage="1" showErrorMessage="1" xr:uid="{EB8D7CE9-9DF0-4839-83E5-390FFC96A0C6}">
          <x14:formula1>
            <xm:f>'Utslippsfaktorer Transport'!$A$9:$A$19</xm:f>
          </x14:formula1>
          <xm:sqref>I16:I20 I101:I103 I24:I25 I27 I29 I31 I33:I34 I36 I38:I41 I43:I44 I47:I53 I56:I60 I89:I98 I64:I85</xm:sqref>
        </x14:dataValidation>
        <x14:dataValidation type="list" allowBlank="1" showInputMessage="1" showErrorMessage="1" xr:uid="{36908F36-C4B7-4A16-BE50-12380C9C3725}">
          <x14:formula1>
            <xm:f>'Utslippsfaktorer Transport'!$A$27:$A$29</xm:f>
          </x14:formula1>
          <xm:sqref>K16:K20 K64:K85 K89:K98 K24:K25 K56:K60 K47:K53 K43:K44 K38:K41 K36 K33:K34 K31 K29 K27 K101:K103</xm:sqref>
        </x14:dataValidation>
        <x14:dataValidation type="list" allowBlank="1" showInputMessage="1" showErrorMessage="1" xr:uid="{7EB00733-5BCA-4779-AB0F-B2ED7043C7C1}">
          <x14:formula1>
            <xm:f>'Utslippsfaktorer Transport'!$A$23:$A$25</xm:f>
          </x14:formula1>
          <xm:sqref>L16:L20 L64:L85 L27 L29 L31 L33:L34 L36 L38:L41 L43:L44 L47:L53 L56:L60 L101:L103 L89:L98 L24:L25</xm:sqref>
        </x14:dataValidation>
        <x14:dataValidation type="list" allowBlank="1" showInputMessage="1" showErrorMessage="1" xr:uid="{C82FF3C7-36DF-4BA6-B111-28B5C48536F0}">
          <x14:formula1>
            <xm:f>'Utslippsfaktorer Transport'!$A$33:$A$52</xm:f>
          </x14:formula1>
          <xm:sqref>J89:J98 J64:J85 J24:J25 J27 J29 J31 J33:J34 J36 J38:J41 J43:J44 J47:J53 J56:J60 J101:J103 J16:J20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EE7B2-766E-498A-8757-33A7A6BB9034}">
  <sheetPr>
    <tabColor theme="5"/>
  </sheetPr>
  <dimension ref="A1:T30"/>
  <sheetViews>
    <sheetView zoomScale="85" zoomScaleNormal="85" workbookViewId="0">
      <selection activeCell="A2" sqref="A2:C2"/>
    </sheetView>
  </sheetViews>
  <sheetFormatPr baseColWidth="10" defaultColWidth="11.44140625" defaultRowHeight="14.4" x14ac:dyDescent="0.3"/>
  <cols>
    <col min="1" max="1" width="73.44140625" style="301" customWidth="1"/>
    <col min="2" max="2" width="11.44140625" style="301"/>
    <col min="3" max="3" width="17.33203125" style="301" customWidth="1"/>
    <col min="4" max="4" width="3.88671875" style="331" customWidth="1"/>
    <col min="5" max="5" width="4" style="313" customWidth="1"/>
    <col min="6" max="6" width="50.44140625" style="301" bestFit="1" customWidth="1"/>
    <col min="7" max="8" width="15.5546875" style="301" customWidth="1"/>
    <col min="9" max="9" width="9.6640625" style="301" customWidth="1"/>
    <col min="10" max="10" width="2.109375" style="374" customWidth="1"/>
    <col min="11" max="11" width="48.109375" style="313" bestFit="1" customWidth="1"/>
    <col min="12" max="12" width="22" style="301" customWidth="1"/>
    <col min="13" max="13" width="13" style="301" customWidth="1"/>
    <col min="14" max="14" width="18.33203125" style="301" customWidth="1"/>
    <col min="15" max="15" width="27.44140625" style="301" bestFit="1" customWidth="1"/>
    <col min="16" max="16" width="23.44140625" style="301" customWidth="1"/>
    <col min="17" max="17" width="11.44140625" style="374"/>
    <col min="18" max="18" width="42.33203125" style="301" customWidth="1"/>
    <col min="19" max="19" width="11.44140625" style="301"/>
    <col min="20" max="20" width="12.109375" style="301" bestFit="1" customWidth="1"/>
    <col min="21" max="21" width="11.44140625" style="301"/>
    <col min="22" max="22" width="38.33203125" style="301" bestFit="1" customWidth="1"/>
    <col min="23" max="23" width="34.33203125" style="301" bestFit="1" customWidth="1"/>
    <col min="24" max="16384" width="11.44140625" style="301"/>
  </cols>
  <sheetData>
    <row r="1" spans="1:20" ht="23.4" x14ac:dyDescent="0.45">
      <c r="A1" s="391" t="s">
        <v>797</v>
      </c>
      <c r="E1" s="301"/>
    </row>
    <row r="2" spans="1:20" ht="80.400000000000006" customHeight="1" x14ac:dyDescent="0.3">
      <c r="A2" s="1167" t="s">
        <v>794</v>
      </c>
      <c r="B2" s="1168"/>
      <c r="C2" s="1169"/>
      <c r="E2" s="301"/>
    </row>
    <row r="4" spans="1:20" x14ac:dyDescent="0.3">
      <c r="A4" s="334" t="s">
        <v>848</v>
      </c>
      <c r="F4" s="334" t="s">
        <v>791</v>
      </c>
      <c r="G4" s="334"/>
      <c r="H4" s="334"/>
      <c r="I4" s="334"/>
      <c r="J4" s="371"/>
      <c r="K4" s="334" t="s">
        <v>332</v>
      </c>
      <c r="R4" s="334" t="s">
        <v>731</v>
      </c>
    </row>
    <row r="5" spans="1:20" ht="15" thickBot="1" x14ac:dyDescent="0.35">
      <c r="A5" s="334"/>
      <c r="F5" s="334"/>
      <c r="G5" s="334"/>
      <c r="H5" s="334"/>
      <c r="I5" s="334"/>
      <c r="J5" s="371"/>
      <c r="K5" s="314"/>
      <c r="L5" s="334"/>
      <c r="R5" s="334"/>
    </row>
    <row r="6" spans="1:20" x14ac:dyDescent="0.3">
      <c r="A6" s="370" t="s">
        <v>787</v>
      </c>
      <c r="B6" s="336" t="s">
        <v>515</v>
      </c>
      <c r="C6" s="337" t="s">
        <v>444</v>
      </c>
      <c r="D6" s="392"/>
      <c r="F6" s="370" t="s">
        <v>718</v>
      </c>
      <c r="G6" s="310" t="s">
        <v>726</v>
      </c>
      <c r="H6" s="311" t="s">
        <v>444</v>
      </c>
      <c r="I6" s="313"/>
      <c r="K6" s="403"/>
      <c r="L6" s="370" t="s">
        <v>672</v>
      </c>
      <c r="M6" s="336" t="s">
        <v>579</v>
      </c>
      <c r="N6" s="336" t="s">
        <v>673</v>
      </c>
      <c r="O6" s="337" t="s">
        <v>444</v>
      </c>
      <c r="R6" s="415" t="s">
        <v>674</v>
      </c>
      <c r="S6" s="488" t="s">
        <v>515</v>
      </c>
      <c r="T6" s="489" t="s">
        <v>444</v>
      </c>
    </row>
    <row r="7" spans="1:20" ht="15" thickBot="1" x14ac:dyDescent="0.35">
      <c r="A7" s="376" t="s">
        <v>792</v>
      </c>
      <c r="B7" s="329"/>
      <c r="C7" s="393" t="s">
        <v>793</v>
      </c>
      <c r="F7" s="376" t="s">
        <v>717</v>
      </c>
      <c r="G7" s="944">
        <f>B7*N7</f>
        <v>0</v>
      </c>
      <c r="H7" s="320" t="s">
        <v>715</v>
      </c>
      <c r="I7" s="313"/>
      <c r="K7" s="404" t="s">
        <v>845</v>
      </c>
      <c r="L7" s="945">
        <v>8.3999999999999995E-3</v>
      </c>
      <c r="M7" s="329">
        <v>0</v>
      </c>
      <c r="N7" s="946">
        <f>IF(M7=0,L7,M7)</f>
        <v>8.3999999999999995E-3</v>
      </c>
      <c r="O7" s="397" t="s">
        <v>676</v>
      </c>
      <c r="R7" s="376" t="s">
        <v>675</v>
      </c>
      <c r="S7" s="441">
        <f>44/28</f>
        <v>1.5714285714285714</v>
      </c>
      <c r="T7" s="320" t="s">
        <v>677</v>
      </c>
    </row>
    <row r="8" spans="1:20" ht="15" thickBot="1" x14ac:dyDescent="0.35">
      <c r="F8" s="313"/>
      <c r="G8" s="313"/>
      <c r="H8" s="313"/>
      <c r="I8" s="313"/>
      <c r="R8" s="313"/>
      <c r="S8" s="313"/>
      <c r="T8" s="313"/>
    </row>
    <row r="9" spans="1:20" x14ac:dyDescent="0.3">
      <c r="A9" s="370" t="s">
        <v>843</v>
      </c>
      <c r="B9" s="336" t="s">
        <v>515</v>
      </c>
      <c r="C9" s="337" t="s">
        <v>444</v>
      </c>
      <c r="D9" s="392"/>
      <c r="F9" s="313"/>
      <c r="G9" s="313"/>
      <c r="H9" s="313"/>
      <c r="I9" s="313"/>
      <c r="R9" s="370" t="s">
        <v>840</v>
      </c>
      <c r="S9" s="307" t="s">
        <v>515</v>
      </c>
      <c r="T9" s="419" t="s">
        <v>444</v>
      </c>
    </row>
    <row r="10" spans="1:20" x14ac:dyDescent="0.3">
      <c r="A10" s="373" t="s">
        <v>788</v>
      </c>
      <c r="B10" s="360"/>
      <c r="C10" s="395" t="s">
        <v>678</v>
      </c>
      <c r="F10" s="313"/>
      <c r="G10" s="313"/>
      <c r="H10" s="313"/>
      <c r="I10" s="313"/>
      <c r="R10" s="373" t="s">
        <v>682</v>
      </c>
      <c r="S10" s="313">
        <v>0.66</v>
      </c>
      <c r="T10" s="316" t="s">
        <v>683</v>
      </c>
    </row>
    <row r="11" spans="1:20" ht="15" thickBot="1" x14ac:dyDescent="0.35">
      <c r="A11" s="376" t="s">
        <v>679</v>
      </c>
      <c r="B11" s="396">
        <v>0.65</v>
      </c>
      <c r="C11" s="397" t="s">
        <v>1026</v>
      </c>
      <c r="F11" s="313"/>
      <c r="G11" s="313"/>
      <c r="H11" s="313"/>
      <c r="I11" s="313"/>
      <c r="R11" s="376" t="s">
        <v>181</v>
      </c>
      <c r="S11" s="1076">
        <v>0.02</v>
      </c>
      <c r="T11" s="320"/>
    </row>
    <row r="12" spans="1:20" s="333" customFormat="1" ht="15" thickBot="1" x14ac:dyDescent="0.35">
      <c r="A12" s="313"/>
      <c r="B12" s="398"/>
      <c r="C12" s="313"/>
      <c r="D12" s="331"/>
      <c r="E12" s="313"/>
      <c r="F12" s="313"/>
      <c r="G12" s="313"/>
      <c r="H12" s="313"/>
      <c r="I12" s="313"/>
      <c r="J12" s="374"/>
      <c r="K12" s="313"/>
      <c r="L12" s="301"/>
      <c r="M12" s="301"/>
      <c r="N12" s="301"/>
      <c r="O12" s="301"/>
      <c r="Q12" s="407"/>
      <c r="R12" s="301"/>
      <c r="S12" s="301"/>
      <c r="T12" s="301"/>
    </row>
    <row r="13" spans="1:20" x14ac:dyDescent="0.3">
      <c r="A13" s="370" t="s">
        <v>790</v>
      </c>
      <c r="B13" s="310" t="s">
        <v>515</v>
      </c>
      <c r="C13" s="337" t="s">
        <v>444</v>
      </c>
      <c r="D13" s="392"/>
      <c r="F13" s="370" t="s">
        <v>796</v>
      </c>
      <c r="G13" s="721" t="s">
        <v>515</v>
      </c>
      <c r="H13" s="337" t="s">
        <v>444</v>
      </c>
      <c r="K13" s="403"/>
      <c r="L13" s="370" t="s">
        <v>672</v>
      </c>
      <c r="M13" s="336" t="s">
        <v>579</v>
      </c>
      <c r="N13" s="336" t="s">
        <v>684</v>
      </c>
      <c r="O13" s="337"/>
      <c r="R13" s="313"/>
      <c r="S13" s="313"/>
      <c r="T13" s="313"/>
    </row>
    <row r="14" spans="1:20" x14ac:dyDescent="0.3">
      <c r="A14" s="373" t="s">
        <v>748</v>
      </c>
      <c r="B14" s="315"/>
      <c r="C14" s="395" t="s">
        <v>678</v>
      </c>
      <c r="F14" s="373" t="s">
        <v>795</v>
      </c>
      <c r="G14" s="948">
        <f>B14*N14</f>
        <v>0</v>
      </c>
      <c r="H14" s="316" t="s">
        <v>716</v>
      </c>
      <c r="K14" s="405" t="s">
        <v>846</v>
      </c>
      <c r="L14" s="947">
        <f>S10*B11</f>
        <v>0.42900000000000005</v>
      </c>
      <c r="M14" s="360">
        <v>0</v>
      </c>
      <c r="N14" s="475">
        <f t="shared" ref="N14:N15" si="0">IF(M14=0,L14,M14)</f>
        <v>0.42900000000000005</v>
      </c>
      <c r="O14" s="395" t="s">
        <v>729</v>
      </c>
      <c r="R14" s="313"/>
      <c r="S14" s="313"/>
      <c r="T14" s="313"/>
    </row>
    <row r="15" spans="1:20" ht="15" thickBot="1" x14ac:dyDescent="0.35">
      <c r="A15" s="376" t="s">
        <v>933</v>
      </c>
      <c r="B15" s="319"/>
      <c r="C15" s="397" t="s">
        <v>678</v>
      </c>
      <c r="F15" s="376" t="s">
        <v>680</v>
      </c>
      <c r="G15" s="944">
        <f>B15*N15</f>
        <v>0</v>
      </c>
      <c r="H15" s="397" t="s">
        <v>716</v>
      </c>
      <c r="K15" s="404" t="s">
        <v>847</v>
      </c>
      <c r="L15" s="949">
        <f>S10*S11*B11</f>
        <v>8.5800000000000008E-3</v>
      </c>
      <c r="M15" s="329">
        <v>0</v>
      </c>
      <c r="N15" s="476">
        <f t="shared" si="0"/>
        <v>8.5800000000000008E-3</v>
      </c>
      <c r="O15" s="397" t="s">
        <v>729</v>
      </c>
      <c r="R15" s="313"/>
      <c r="S15" s="313"/>
      <c r="T15" s="313"/>
    </row>
    <row r="16" spans="1:20" ht="15" thickBot="1" x14ac:dyDescent="0.35">
      <c r="R16" s="313"/>
      <c r="S16" s="313"/>
      <c r="T16" s="313"/>
    </row>
    <row r="17" spans="1:20" ht="28.8" x14ac:dyDescent="0.3">
      <c r="A17" s="399" t="s">
        <v>789</v>
      </c>
      <c r="B17" s="400" t="s">
        <v>515</v>
      </c>
      <c r="C17" s="401" t="s">
        <v>444</v>
      </c>
      <c r="D17" s="402"/>
      <c r="E17" s="414"/>
      <c r="F17" s="722" t="s">
        <v>725</v>
      </c>
      <c r="G17" s="400" t="s">
        <v>726</v>
      </c>
      <c r="H17" s="401" t="s">
        <v>444</v>
      </c>
      <c r="R17" s="414"/>
      <c r="S17" s="414"/>
      <c r="T17" s="414"/>
    </row>
    <row r="18" spans="1:20" s="410" customFormat="1" x14ac:dyDescent="0.3">
      <c r="A18" s="373" t="s">
        <v>727</v>
      </c>
      <c r="B18" s="360"/>
      <c r="C18" s="395" t="s">
        <v>686</v>
      </c>
      <c r="D18" s="331"/>
      <c r="E18" s="313"/>
      <c r="F18" s="373" t="s">
        <v>278</v>
      </c>
      <c r="G18" s="950">
        <f>B18</f>
        <v>0</v>
      </c>
      <c r="H18" s="395" t="s">
        <v>708</v>
      </c>
      <c r="I18" s="301"/>
      <c r="J18" s="374"/>
      <c r="K18" s="313"/>
      <c r="L18" s="301"/>
      <c r="M18" s="301"/>
      <c r="N18" s="301"/>
      <c r="O18" s="301"/>
      <c r="Q18" s="409"/>
      <c r="R18" s="414"/>
      <c r="S18" s="414"/>
      <c r="T18" s="414"/>
    </row>
    <row r="19" spans="1:20" x14ac:dyDescent="0.3">
      <c r="A19" s="373" t="s">
        <v>681</v>
      </c>
      <c r="B19" s="360"/>
      <c r="C19" s="395" t="s">
        <v>687</v>
      </c>
      <c r="F19" s="373" t="s">
        <v>681</v>
      </c>
      <c r="G19" s="950">
        <f>B19</f>
        <v>0</v>
      </c>
      <c r="H19" s="395" t="s">
        <v>708</v>
      </c>
      <c r="R19" s="313"/>
      <c r="S19" s="442"/>
      <c r="T19" s="313"/>
    </row>
    <row r="20" spans="1:20" ht="15" thickBot="1" x14ac:dyDescent="0.35">
      <c r="A20" s="376" t="s">
        <v>1027</v>
      </c>
      <c r="B20" s="329"/>
      <c r="C20" s="397" t="s">
        <v>687</v>
      </c>
      <c r="F20" s="376" t="s">
        <v>723</v>
      </c>
      <c r="G20" s="951">
        <f>B20</f>
        <v>0</v>
      </c>
      <c r="H20" s="397" t="s">
        <v>708</v>
      </c>
    </row>
    <row r="21" spans="1:20" x14ac:dyDescent="0.3">
      <c r="A21" s="313"/>
      <c r="B21" s="313"/>
      <c r="C21" s="313"/>
    </row>
    <row r="22" spans="1:20" ht="15" thickBot="1" x14ac:dyDescent="0.35">
      <c r="F22" s="334" t="s">
        <v>841</v>
      </c>
      <c r="I22" s="414"/>
      <c r="J22" s="409"/>
      <c r="K22" s="414"/>
      <c r="L22" s="410"/>
      <c r="M22" s="410"/>
      <c r="N22" s="410"/>
      <c r="O22" s="410"/>
    </row>
    <row r="23" spans="1:20" x14ac:dyDescent="0.3">
      <c r="F23" s="370" t="s">
        <v>247</v>
      </c>
      <c r="G23" s="419" t="s">
        <v>842</v>
      </c>
    </row>
    <row r="24" spans="1:20" x14ac:dyDescent="0.3">
      <c r="F24" s="373" t="s">
        <v>728</v>
      </c>
      <c r="G24" s="952">
        <f>'Avløpsbehandling-Resultater'!D118</f>
        <v>0</v>
      </c>
    </row>
    <row r="25" spans="1:20" x14ac:dyDescent="0.3">
      <c r="F25" s="373" t="s">
        <v>760</v>
      </c>
      <c r="G25" s="952">
        <f>'Avløpsbehandling-Resultater'!D119</f>
        <v>0</v>
      </c>
    </row>
    <row r="26" spans="1:20" x14ac:dyDescent="0.3">
      <c r="F26" s="373" t="s">
        <v>761</v>
      </c>
      <c r="G26" s="952">
        <f>'Avløpsbehandling-Resultater'!D120</f>
        <v>0</v>
      </c>
    </row>
    <row r="27" spans="1:20" ht="15" thickBot="1" x14ac:dyDescent="0.35">
      <c r="F27" s="723" t="s">
        <v>254</v>
      </c>
      <c r="G27" s="953">
        <f>SUM(G24:G26)</f>
        <v>0</v>
      </c>
    </row>
    <row r="30" spans="1:20" x14ac:dyDescent="0.3">
      <c r="A30" s="313"/>
      <c r="B30" s="313"/>
      <c r="C30" s="313"/>
    </row>
  </sheetData>
  <sheetProtection algorithmName="SHA-512" hashValue="26omdVz5knaNZvRnSgtm98fvWG9I6NxyybTzJRe3cziybVO/v70p6p5ydZTPQEL+x07fR10eO7dN6O8tDqEFng==" saltValue="/Ncmta0ow7DoU9maNcn1Ng==" spinCount="100000" sheet="1" objects="1" scenarios="1" formatColumns="0" formatRows="0"/>
  <mergeCells count="1">
    <mergeCell ref="A2:C2"/>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H125"/>
  <sheetViews>
    <sheetView workbookViewId="0"/>
  </sheetViews>
  <sheetFormatPr baseColWidth="10" defaultColWidth="11.5546875" defaultRowHeight="14.4" x14ac:dyDescent="0.3"/>
  <cols>
    <col min="1" max="1" width="43.33203125" style="301" bestFit="1" customWidth="1"/>
    <col min="2" max="2" width="14" style="301" customWidth="1"/>
    <col min="3" max="3" width="8.6640625" style="301" bestFit="1" customWidth="1"/>
    <col min="4" max="4" width="12.5546875" style="301" bestFit="1" customWidth="1"/>
    <col min="5" max="5" width="15" style="301" bestFit="1" customWidth="1"/>
    <col min="6" max="6" width="12.5546875" style="301" bestFit="1" customWidth="1"/>
    <col min="7" max="9" width="11.5546875" style="301"/>
    <col min="10" max="10" width="15" style="301" bestFit="1" customWidth="1"/>
    <col min="11" max="11" width="12.5546875" style="301" bestFit="1" customWidth="1"/>
    <col min="12" max="16384" width="11.5546875" style="301"/>
  </cols>
  <sheetData>
    <row r="1" spans="1:8" ht="18" x14ac:dyDescent="0.35">
      <c r="A1" s="418" t="s">
        <v>645</v>
      </c>
    </row>
    <row r="2" spans="1:8" ht="15" thickBot="1" x14ac:dyDescent="0.35"/>
    <row r="3" spans="1:8" x14ac:dyDescent="0.3">
      <c r="A3" s="471" t="s">
        <v>327</v>
      </c>
      <c r="B3" s="311" t="s">
        <v>326</v>
      </c>
      <c r="C3" s="334"/>
    </row>
    <row r="4" spans="1:8" x14ac:dyDescent="0.3">
      <c r="A4" s="472" t="s">
        <v>307</v>
      </c>
      <c r="B4" s="942">
        <f>SUM(B16:B21)</f>
        <v>0</v>
      </c>
      <c r="C4" s="698"/>
    </row>
    <row r="5" spans="1:8" x14ac:dyDescent="0.3">
      <c r="A5" s="472" t="s">
        <v>15</v>
      </c>
      <c r="B5" s="940">
        <f>SUM(B25:B29)</f>
        <v>0</v>
      </c>
      <c r="C5" s="698"/>
    </row>
    <row r="6" spans="1:8" x14ac:dyDescent="0.3">
      <c r="A6" s="472" t="s">
        <v>401</v>
      </c>
      <c r="B6" s="940">
        <f>SUM(B33:B34,B36,B38,B40,B42:B43,B45,B47:B50,B52,B53)</f>
        <v>0</v>
      </c>
      <c r="C6" s="698"/>
    </row>
    <row r="7" spans="1:8" x14ac:dyDescent="0.3">
      <c r="A7" s="472" t="s">
        <v>316</v>
      </c>
      <c r="B7" s="940">
        <f>SUM(B56:B62)</f>
        <v>0</v>
      </c>
      <c r="C7" s="698"/>
    </row>
    <row r="8" spans="1:8" x14ac:dyDescent="0.3">
      <c r="A8" s="724" t="s">
        <v>402</v>
      </c>
      <c r="B8" s="940">
        <f>SUM(B65:B69)</f>
        <v>0</v>
      </c>
      <c r="C8" s="698"/>
    </row>
    <row r="9" spans="1:8" x14ac:dyDescent="0.3">
      <c r="A9" s="472" t="s">
        <v>762</v>
      </c>
      <c r="B9" s="940">
        <f>SUM(B72:B93)+SUM(B96:B105)</f>
        <v>0</v>
      </c>
      <c r="C9" s="698"/>
    </row>
    <row r="10" spans="1:8" x14ac:dyDescent="0.3">
      <c r="A10" s="472" t="s">
        <v>26</v>
      </c>
      <c r="B10" s="940">
        <f>SUM(B108:B114)</f>
        <v>0</v>
      </c>
      <c r="C10" s="698"/>
    </row>
    <row r="11" spans="1:8" x14ac:dyDescent="0.3">
      <c r="A11" s="331" t="s">
        <v>333</v>
      </c>
      <c r="B11" s="940">
        <f>SUM(D121)</f>
        <v>0</v>
      </c>
      <c r="C11" s="698"/>
    </row>
    <row r="12" spans="1:8" ht="15" thickBot="1" x14ac:dyDescent="0.35">
      <c r="A12" s="725" t="s">
        <v>331</v>
      </c>
      <c r="B12" s="954">
        <f>SUM(B4:B11)</f>
        <v>0</v>
      </c>
      <c r="C12" s="726"/>
    </row>
    <row r="14" spans="1:8" ht="15" thickBot="1" x14ac:dyDescent="0.35"/>
    <row r="15" spans="1:8" ht="15.6" x14ac:dyDescent="0.3">
      <c r="A15" s="695" t="s">
        <v>307</v>
      </c>
      <c r="B15" s="311" t="s">
        <v>326</v>
      </c>
      <c r="C15" s="488"/>
      <c r="D15" s="381"/>
      <c r="E15" s="458"/>
      <c r="F15" s="458"/>
      <c r="G15" s="458"/>
      <c r="H15" s="459"/>
    </row>
    <row r="16" spans="1:8" x14ac:dyDescent="0.3">
      <c r="A16" s="868" t="str">
        <f>'Vann og Avløp-utslippsfaktorer'!A3</f>
        <v>Elektrisitet, Norsk forbruksmiks</v>
      </c>
      <c r="B16" s="924">
        <f>VLOOKUP('Avløpsbehandling-Resultater'!A16,'Vann og Avløp-utslippsfaktorer'!$A$3:$D$82,2,FALSE)*VLOOKUP('Avløpsbehandling-Resultater'!A16,'Avløpsbehandling - Input'!C7:E84,3,FALSE)</f>
        <v>0</v>
      </c>
      <c r="C16" s="935">
        <f t="shared" ref="C16:C21" si="0">B16</f>
        <v>0</v>
      </c>
      <c r="D16" s="373"/>
      <c r="H16" s="316"/>
    </row>
    <row r="17" spans="1:8" x14ac:dyDescent="0.3">
      <c r="A17" s="373" t="s">
        <v>488</v>
      </c>
      <c r="B17" s="924">
        <f>VLOOKUP('Avløpsbehandling-Resultater'!A17,'Vann og Avløp-utslippsfaktorer'!$A$3:$D$82,2,FALSE)*VLOOKUP('Avløpsbehandling-Resultater'!A17,'Avløpsbehandling - Input'!C8:E103,3,FALSE)</f>
        <v>0</v>
      </c>
      <c r="C17" s="925">
        <f t="shared" si="0"/>
        <v>0</v>
      </c>
      <c r="D17" s="373"/>
      <c r="H17" s="316"/>
    </row>
    <row r="18" spans="1:8" x14ac:dyDescent="0.3">
      <c r="A18" s="373" t="s">
        <v>308</v>
      </c>
      <c r="B18" s="924">
        <f>VLOOKUP('Avløpsbehandling-Resultater'!A18,'Vann og Avløp-utslippsfaktorer'!$A$3:$D$82,2,FALSE)*VLOOKUP('Avløpsbehandling-Resultater'!A18,'Avløpsbehandling - Input'!C9:E104,3,FALSE)</f>
        <v>0</v>
      </c>
      <c r="C18" s="925">
        <f t="shared" si="0"/>
        <v>0</v>
      </c>
      <c r="D18" s="373"/>
      <c r="H18" s="316"/>
    </row>
    <row r="19" spans="1:8" x14ac:dyDescent="0.3">
      <c r="A19" s="373" t="s">
        <v>764</v>
      </c>
      <c r="B19" s="924">
        <f>VLOOKUP('Avløpsbehandling-Resultater'!A19,'Vann og Avløp-utslippsfaktorer'!$A$3:$D$82,2,FALSE)*VLOOKUP('Avløpsbehandling-Resultater'!A19,'Avløpsbehandling - Input'!C10:E105,3,FALSE)</f>
        <v>0</v>
      </c>
      <c r="C19" s="925">
        <f t="shared" si="0"/>
        <v>0</v>
      </c>
      <c r="D19" s="373"/>
      <c r="H19" s="316"/>
    </row>
    <row r="20" spans="1:8" x14ac:dyDescent="0.3">
      <c r="A20" s="373" t="s">
        <v>309</v>
      </c>
      <c r="B20" s="924">
        <f>VLOOKUP('Avløpsbehandling-Resultater'!A20,'Vann og Avløp-utslippsfaktorer'!$A$3:$D$82,2,FALSE)*VLOOKUP('Avløpsbehandling-Resultater'!A20,'Avløpsbehandling - Input'!C11:E110,3,FALSE)</f>
        <v>0</v>
      </c>
      <c r="C20" s="925">
        <f t="shared" si="0"/>
        <v>0</v>
      </c>
      <c r="D20" s="373"/>
      <c r="H20" s="316"/>
    </row>
    <row r="21" spans="1:8" ht="15" thickBot="1" x14ac:dyDescent="0.35">
      <c r="A21" s="376" t="s">
        <v>310</v>
      </c>
      <c r="B21" s="926">
        <f>VLOOKUP('Avløpsbehandling-Resultater'!A21,'Vann og Avløp-utslippsfaktorer'!$A$3:$D$82,2,FALSE)*VLOOKUP('Avløpsbehandling-Resultater'!A21,'Avløpsbehandling - Input'!C12:E111,3,FALSE)</f>
        <v>0</v>
      </c>
      <c r="C21" s="927">
        <f t="shared" si="0"/>
        <v>0</v>
      </c>
      <c r="D21" s="376"/>
      <c r="E21" s="318"/>
      <c r="F21" s="318"/>
      <c r="G21" s="318"/>
      <c r="H21" s="320"/>
    </row>
    <row r="22" spans="1:8" x14ac:dyDescent="0.3">
      <c r="B22" s="698"/>
      <c r="C22" s="698"/>
    </row>
    <row r="23" spans="1:8" ht="15" thickBot="1" x14ac:dyDescent="0.35"/>
    <row r="24" spans="1:8" ht="15.6" x14ac:dyDescent="0.3">
      <c r="A24" s="654" t="s">
        <v>15</v>
      </c>
      <c r="B24" s="336" t="s">
        <v>326</v>
      </c>
      <c r="C24" s="683"/>
      <c r="D24" s="458"/>
      <c r="E24" s="458"/>
      <c r="F24" s="458"/>
      <c r="G24" s="458"/>
      <c r="H24" s="459"/>
    </row>
    <row r="25" spans="1:8" x14ac:dyDescent="0.3">
      <c r="A25" s="373" t="s">
        <v>16</v>
      </c>
      <c r="B25" s="930">
        <f>VLOOKUP('Avløpsbehandling-Resultater'!A25,'Vann og Avløp-utslippsfaktorer'!$A$3:$D$82,2,FALSE)*VLOOKUP('Avløpsbehandling-Resultater'!A25,'Avløpsbehandling - Input'!C16:E114,3,FALSE)</f>
        <v>0</v>
      </c>
      <c r="C25" s="935">
        <f t="shared" ref="C25:C29" si="1">B25</f>
        <v>0</v>
      </c>
      <c r="H25" s="316"/>
    </row>
    <row r="26" spans="1:8" x14ac:dyDescent="0.3">
      <c r="A26" s="373" t="s">
        <v>17</v>
      </c>
      <c r="B26" s="930">
        <f>VLOOKUP('Avløpsbehandling-Resultater'!A26,'Vann og Avløp-utslippsfaktorer'!$A$3:$D$82,2,FALSE)*VLOOKUP('Avløpsbehandling-Resultater'!A26,'Avløpsbehandling - Input'!C17:E115,3,FALSE)</f>
        <v>0</v>
      </c>
      <c r="C26" s="931">
        <f t="shared" si="1"/>
        <v>0</v>
      </c>
      <c r="H26" s="316"/>
    </row>
    <row r="27" spans="1:8" x14ac:dyDescent="0.3">
      <c r="A27" s="373" t="s">
        <v>18</v>
      </c>
      <c r="B27" s="930">
        <f>VLOOKUP('Avløpsbehandling-Resultater'!A27,'Vann og Avløp-utslippsfaktorer'!$A$3:$D$82,2,FALSE)*VLOOKUP('Avløpsbehandling-Resultater'!A27,'Avløpsbehandling - Input'!C18:E116,3,FALSE)</f>
        <v>0</v>
      </c>
      <c r="C27" s="931">
        <f t="shared" si="1"/>
        <v>0</v>
      </c>
      <c r="H27" s="316"/>
    </row>
    <row r="28" spans="1:8" x14ac:dyDescent="0.3">
      <c r="A28" s="373" t="s">
        <v>19</v>
      </c>
      <c r="B28" s="930">
        <f>VLOOKUP('Avløpsbehandling-Resultater'!A28,'Vann og Avløp-utslippsfaktorer'!$A$3:$D$82,2,FALSE)*VLOOKUP('Avløpsbehandling-Resultater'!A28,'Avløpsbehandling - Input'!C19:E117,3,FALSE)</f>
        <v>0</v>
      </c>
      <c r="C28" s="931">
        <f t="shared" si="1"/>
        <v>0</v>
      </c>
      <c r="H28" s="316"/>
    </row>
    <row r="29" spans="1:8" ht="15" thickBot="1" x14ac:dyDescent="0.35">
      <c r="A29" s="376" t="s">
        <v>574</v>
      </c>
      <c r="B29" s="926">
        <f>VLOOKUP('Avløpsbehandling-Resultater'!A29,'Vann og Avløp-utslippsfaktorer'!$A$3:$D$82,2,FALSE)*VLOOKUP('Avløpsbehandling-Resultater'!A29,'Avløpsbehandling - Input'!C20:E118,3,FALSE)</f>
        <v>0</v>
      </c>
      <c r="C29" s="933">
        <f t="shared" si="1"/>
        <v>0</v>
      </c>
      <c r="D29" s="318"/>
      <c r="E29" s="318"/>
      <c r="F29" s="318"/>
      <c r="G29" s="318"/>
      <c r="H29" s="320"/>
    </row>
    <row r="30" spans="1:8" ht="15" thickBot="1" x14ac:dyDescent="0.35"/>
    <row r="31" spans="1:8" ht="15.6" x14ac:dyDescent="0.3">
      <c r="A31" s="654" t="s">
        <v>401</v>
      </c>
      <c r="B31" s="459"/>
      <c r="C31" s="704"/>
      <c r="D31" s="458"/>
      <c r="E31" s="458"/>
      <c r="F31" s="458"/>
      <c r="G31" s="458"/>
      <c r="H31" s="459"/>
    </row>
    <row r="32" spans="1:8" ht="15.6" x14ac:dyDescent="0.3">
      <c r="A32" s="667" t="s">
        <v>605</v>
      </c>
      <c r="B32" s="350" t="s">
        <v>326</v>
      </c>
      <c r="C32" s="727"/>
      <c r="D32" s="313"/>
      <c r="E32" s="313"/>
      <c r="F32" s="313"/>
      <c r="G32" s="313"/>
      <c r="H32" s="316"/>
    </row>
    <row r="33" spans="1:8" ht="15.6" x14ac:dyDescent="0.3">
      <c r="A33" s="668" t="s">
        <v>605</v>
      </c>
      <c r="B33" s="928">
        <f>VLOOKUP('Avløpsbehandling-Resultater'!A33,'Vann og Avløp-utslippsfaktorer'!$A$3:$D$82,2,FALSE)*VLOOKUP('Avløpsbehandling-Resultater'!A33,'Avløpsbehandling - Input'!C24:E119,3,FALSE)</f>
        <v>0</v>
      </c>
      <c r="C33" s="935">
        <f t="shared" ref="C33:C36" si="2">B33</f>
        <v>0</v>
      </c>
      <c r="D33" s="313"/>
      <c r="E33" s="313"/>
      <c r="F33" s="313"/>
      <c r="G33" s="313"/>
      <c r="H33" s="316"/>
    </row>
    <row r="34" spans="1:8" x14ac:dyDescent="0.3">
      <c r="A34" s="518" t="s">
        <v>620</v>
      </c>
      <c r="B34" s="955">
        <f>VLOOKUP('Avløpsbehandling-Resultater'!A34,'Vann og Avløp-utslippsfaktorer'!$A$3:$D$82,2,FALSE)*VLOOKUP('Avløpsbehandling-Resultater'!A34,'Avløpsbehandling - Input'!C25:E120,3,FALSE)</f>
        <v>0</v>
      </c>
      <c r="C34" s="937">
        <f t="shared" si="2"/>
        <v>0</v>
      </c>
      <c r="D34" s="313"/>
      <c r="E34" s="313"/>
      <c r="F34" s="313"/>
      <c r="G34" s="313"/>
      <c r="H34" s="316"/>
    </row>
    <row r="35" spans="1:8" ht="15.6" x14ac:dyDescent="0.35">
      <c r="A35" s="680" t="s">
        <v>37</v>
      </c>
      <c r="B35" s="728" t="s">
        <v>326</v>
      </c>
      <c r="C35" s="708"/>
      <c r="D35" s="313"/>
      <c r="H35" s="316"/>
    </row>
    <row r="36" spans="1:8" x14ac:dyDescent="0.3">
      <c r="A36" s="518" t="s">
        <v>272</v>
      </c>
      <c r="B36" s="956">
        <f>VLOOKUP('Avløpsbehandling-Resultater'!A36,'Vann og Avløp-utslippsfaktorer'!$A$3:$D$82,2,FALSE)*VLOOKUP('Avløpsbehandling-Resultater'!A36,'Avløpsbehandling - Input'!C27:E121,3,FALSE)</f>
        <v>0</v>
      </c>
      <c r="C36" s="935">
        <f t="shared" si="2"/>
        <v>0</v>
      </c>
      <c r="D36" s="313"/>
      <c r="H36" s="316"/>
    </row>
    <row r="37" spans="1:8" ht="15.6" x14ac:dyDescent="0.35">
      <c r="A37" s="432" t="s">
        <v>39</v>
      </c>
      <c r="B37" s="350" t="s">
        <v>326</v>
      </c>
      <c r="C37" s="729"/>
      <c r="D37" s="313"/>
      <c r="H37" s="316"/>
    </row>
    <row r="38" spans="1:8" x14ac:dyDescent="0.3">
      <c r="A38" s="518" t="s">
        <v>38</v>
      </c>
      <c r="B38" s="956">
        <f>VLOOKUP('Avløpsbehandling-Resultater'!A38,'Vann og Avløp-utslippsfaktorer'!$A$3:$D$82,2,FALSE)*VLOOKUP('Avløpsbehandling-Resultater'!A38,'Avløpsbehandling - Input'!C29:E123,3,FALSE)</f>
        <v>0</v>
      </c>
      <c r="C38" s="935">
        <f t="shared" ref="C38" si="3">B38</f>
        <v>0</v>
      </c>
      <c r="D38" s="313"/>
      <c r="H38" s="316"/>
    </row>
    <row r="39" spans="1:8" ht="15.6" x14ac:dyDescent="0.35">
      <c r="A39" s="680" t="s">
        <v>40</v>
      </c>
      <c r="B39" s="350" t="s">
        <v>326</v>
      </c>
      <c r="C39" s="729"/>
      <c r="D39" s="313"/>
      <c r="H39" s="316"/>
    </row>
    <row r="40" spans="1:8" x14ac:dyDescent="0.3">
      <c r="A40" s="518" t="s">
        <v>41</v>
      </c>
      <c r="B40" s="956">
        <f>VLOOKUP('Avløpsbehandling-Resultater'!A40,'Vann og Avløp-utslippsfaktorer'!$A$3:$D$82,2,FALSE)*VLOOKUP('Avløpsbehandling-Resultater'!A40,'Avløpsbehandling - Input'!C31:E125,3,FALSE)</f>
        <v>0</v>
      </c>
      <c r="C40" s="935">
        <f t="shared" ref="C40" si="4">B40</f>
        <v>0</v>
      </c>
      <c r="D40" s="313"/>
      <c r="H40" s="316"/>
    </row>
    <row r="41" spans="1:8" ht="15.6" x14ac:dyDescent="0.35">
      <c r="A41" s="680" t="s">
        <v>42</v>
      </c>
      <c r="B41" s="350" t="s">
        <v>326</v>
      </c>
      <c r="C41" s="729"/>
      <c r="D41" s="313"/>
      <c r="H41" s="316"/>
    </row>
    <row r="42" spans="1:8" x14ac:dyDescent="0.3">
      <c r="A42" s="373" t="s">
        <v>383</v>
      </c>
      <c r="B42" s="924">
        <f>VLOOKUP('Avløpsbehandling-Resultater'!A42,'Vann og Avløp-utslippsfaktorer'!$A$3:$D$82,2,FALSE)*VLOOKUP('Avløpsbehandling-Resultater'!A42,'Avløpsbehandling - Input'!C33:E127,3,FALSE)</f>
        <v>0</v>
      </c>
      <c r="C42" s="935">
        <f t="shared" ref="C42:C43" si="5">B42</f>
        <v>0</v>
      </c>
      <c r="D42" s="313"/>
      <c r="H42" s="316"/>
    </row>
    <row r="43" spans="1:8" x14ac:dyDescent="0.3">
      <c r="A43" s="518" t="s">
        <v>43</v>
      </c>
      <c r="B43" s="924">
        <f>VLOOKUP('Avløpsbehandling-Resultater'!A43,'Vann og Avløp-utslippsfaktorer'!$A$3:$D$82,2,FALSE)*VLOOKUP('Avløpsbehandling-Resultater'!A43,'Avløpsbehandling - Input'!C34:E128,3,FALSE)</f>
        <v>0</v>
      </c>
      <c r="C43" s="931">
        <f t="shared" si="5"/>
        <v>0</v>
      </c>
      <c r="D43" s="313"/>
      <c r="H43" s="316"/>
    </row>
    <row r="44" spans="1:8" x14ac:dyDescent="0.3">
      <c r="A44" s="432" t="s">
        <v>44</v>
      </c>
      <c r="B44" s="350" t="s">
        <v>326</v>
      </c>
      <c r="C44" s="729"/>
      <c r="D44" s="313"/>
      <c r="H44" s="316"/>
    </row>
    <row r="45" spans="1:8" x14ac:dyDescent="0.3">
      <c r="A45" s="518" t="s">
        <v>45</v>
      </c>
      <c r="B45" s="956">
        <f>VLOOKUP('Avløpsbehandling-Resultater'!A45,'Vann og Avløp-utslippsfaktorer'!$A$3:$D$82,2,FALSE)*VLOOKUP('Avløpsbehandling-Resultater'!A45,'Avløpsbehandling - Input'!C36:E130,3,FALSE)</f>
        <v>0</v>
      </c>
      <c r="C45" s="935">
        <f t="shared" ref="C45" si="6">B45</f>
        <v>0</v>
      </c>
      <c r="D45" s="313"/>
      <c r="H45" s="316"/>
    </row>
    <row r="46" spans="1:8" x14ac:dyDescent="0.3">
      <c r="A46" s="680" t="s">
        <v>46</v>
      </c>
      <c r="B46" s="350" t="s">
        <v>326</v>
      </c>
      <c r="C46" s="729"/>
      <c r="D46" s="313"/>
      <c r="H46" s="316"/>
    </row>
    <row r="47" spans="1:8" x14ac:dyDescent="0.3">
      <c r="A47" s="373" t="s">
        <v>47</v>
      </c>
      <c r="B47" s="924">
        <f>VLOOKUP('Avløpsbehandling-Resultater'!A47,'Vann og Avløp-utslippsfaktorer'!$A$3:$D$82,2,FALSE)*VLOOKUP('Avløpsbehandling-Resultater'!A47,'Avløpsbehandling - Input'!C38:E132,3,FALSE)</f>
        <v>0</v>
      </c>
      <c r="C47" s="935">
        <f t="shared" ref="C47:C50" si="7">B47</f>
        <v>0</v>
      </c>
      <c r="D47" s="313"/>
      <c r="H47" s="316"/>
    </row>
    <row r="48" spans="1:8" x14ac:dyDescent="0.3">
      <c r="A48" s="373" t="s">
        <v>48</v>
      </c>
      <c r="B48" s="924">
        <f>VLOOKUP('Avløpsbehandling-Resultater'!A48,'Vann og Avløp-utslippsfaktorer'!$A$3:$D$82,2,FALSE)*VLOOKUP('Avløpsbehandling-Resultater'!A48,'Avløpsbehandling - Input'!C39:E133,3,FALSE)</f>
        <v>0</v>
      </c>
      <c r="C48" s="931">
        <f t="shared" si="7"/>
        <v>0</v>
      </c>
      <c r="D48" s="313"/>
      <c r="H48" s="316"/>
    </row>
    <row r="49" spans="1:8" x14ac:dyDescent="0.3">
      <c r="A49" s="373" t="s">
        <v>49</v>
      </c>
      <c r="B49" s="924">
        <f>VLOOKUP('Avløpsbehandling-Resultater'!A49,'Vann og Avløp-utslippsfaktorer'!$A$3:$D$82,2,FALSE)*VLOOKUP('Avløpsbehandling-Resultater'!A49,'Avløpsbehandling - Input'!C40:E134,3,FALSE)</f>
        <v>0</v>
      </c>
      <c r="C49" s="931">
        <f t="shared" si="7"/>
        <v>0</v>
      </c>
      <c r="D49" s="313"/>
      <c r="H49" s="316"/>
    </row>
    <row r="50" spans="1:8" x14ac:dyDescent="0.3">
      <c r="A50" s="373" t="s">
        <v>50</v>
      </c>
      <c r="B50" s="924">
        <f>VLOOKUP('Avløpsbehandling-Resultater'!A50,'Vann og Avløp-utslippsfaktorer'!$A$3:$D$82,2,FALSE)*VLOOKUP('Avløpsbehandling-Resultater'!A50,'Avløpsbehandling - Input'!C41:E135,3,FALSE)</f>
        <v>0</v>
      </c>
      <c r="C50" s="931">
        <f t="shared" si="7"/>
        <v>0</v>
      </c>
      <c r="D50" s="313"/>
      <c r="H50" s="316"/>
    </row>
    <row r="51" spans="1:8" x14ac:dyDescent="0.3">
      <c r="A51" s="373" t="s">
        <v>502</v>
      </c>
      <c r="B51" s="350" t="s">
        <v>326</v>
      </c>
      <c r="C51" s="729"/>
      <c r="D51" s="313"/>
      <c r="H51" s="316"/>
    </row>
    <row r="52" spans="1:8" x14ac:dyDescent="0.3">
      <c r="A52" s="373" t="s">
        <v>503</v>
      </c>
      <c r="B52" s="924">
        <f>VLOOKUP('Avløpsbehandling-Resultater'!A52,'Vann og Avløp-utslippsfaktorer'!$A$3:$D$82,4,FALSE)*VLOOKUP('Avløpsbehandling-Resultater'!A52,'Avløpsbehandling - Input'!C43:E137,3,FALSE)</f>
        <v>0</v>
      </c>
      <c r="C52" s="935">
        <f t="shared" ref="C52:C53" si="8">B52</f>
        <v>0</v>
      </c>
      <c r="D52" s="313"/>
      <c r="H52" s="316"/>
    </row>
    <row r="53" spans="1:8" ht="15" thickBot="1" x14ac:dyDescent="0.35">
      <c r="A53" s="376" t="s">
        <v>602</v>
      </c>
      <c r="B53" s="926">
        <f>VLOOKUP('Avløpsbehandling-Resultater'!A53,'Vann og Avløp-utslippsfaktorer'!$A$3:$D$82,4,FALSE)*VLOOKUP('Avløpsbehandling-Resultater'!A53,'Avløpsbehandling - Input'!C44:E138,3,FALSE)</f>
        <v>0</v>
      </c>
      <c r="C53" s="933">
        <f t="shared" si="8"/>
        <v>0</v>
      </c>
      <c r="D53" s="318"/>
      <c r="E53" s="318"/>
      <c r="F53" s="318"/>
      <c r="G53" s="318"/>
      <c r="H53" s="320"/>
    </row>
    <row r="54" spans="1:8" ht="15" thickBot="1" x14ac:dyDescent="0.35"/>
    <row r="55" spans="1:8" ht="15.6" x14ac:dyDescent="0.3">
      <c r="A55" s="695" t="s">
        <v>316</v>
      </c>
      <c r="B55" s="311" t="s">
        <v>326</v>
      </c>
      <c r="C55" s="335"/>
      <c r="D55" s="381"/>
      <c r="E55" s="458"/>
      <c r="F55" s="458"/>
      <c r="G55" s="458"/>
      <c r="H55" s="459"/>
    </row>
    <row r="56" spans="1:8" x14ac:dyDescent="0.3">
      <c r="A56" s="373" t="s">
        <v>317</v>
      </c>
      <c r="B56" s="924">
        <f>VLOOKUP('Avløpsbehandling-Resultater'!A56,'Vann og Avløp-utslippsfaktorer'!$A$3:$D$82,4,FALSE)*VLOOKUP('Avløpsbehandling-Resultater'!A56,'Avløpsbehandling - Input'!C47:E138,3,FALSE)</f>
        <v>0</v>
      </c>
      <c r="C56" s="925">
        <f t="shared" ref="C56:C62" si="9">B56</f>
        <v>0</v>
      </c>
      <c r="D56" s="373"/>
      <c r="H56" s="316"/>
    </row>
    <row r="57" spans="1:8" x14ac:dyDescent="0.3">
      <c r="A57" s="373" t="s">
        <v>318</v>
      </c>
      <c r="B57" s="924">
        <f>VLOOKUP('Avløpsbehandling-Resultater'!A57,'Vann og Avløp-utslippsfaktorer'!$A$3:$D$82,4,FALSE)*VLOOKUP('Avløpsbehandling-Resultater'!A57,'Avløpsbehandling - Input'!C48:E139,3,FALSE)</f>
        <v>0</v>
      </c>
      <c r="C57" s="925">
        <f t="shared" si="9"/>
        <v>0</v>
      </c>
      <c r="D57" s="373"/>
      <c r="H57" s="316"/>
    </row>
    <row r="58" spans="1:8" x14ac:dyDescent="0.3">
      <c r="A58" s="373" t="s">
        <v>319</v>
      </c>
      <c r="B58" s="924">
        <f>VLOOKUP('Avløpsbehandling-Resultater'!A58,'Vann og Avløp-utslippsfaktorer'!$A$3:$D$82,4,FALSE)*VLOOKUP('Avløpsbehandling-Resultater'!A58,'Avløpsbehandling - Input'!C49:E140,3,FALSE)</f>
        <v>0</v>
      </c>
      <c r="C58" s="925">
        <f t="shared" si="9"/>
        <v>0</v>
      </c>
      <c r="D58" s="373"/>
      <c r="H58" s="316"/>
    </row>
    <row r="59" spans="1:8" x14ac:dyDescent="0.3">
      <c r="A59" s="373" t="s">
        <v>257</v>
      </c>
      <c r="B59" s="924">
        <f>VLOOKUP('Avløpsbehandling-Resultater'!A59,'Vann og Avløp-utslippsfaktorer'!$A$3:$D$82,4,FALSE)*VLOOKUP('Avløpsbehandling-Resultater'!A59,'Avløpsbehandling - Input'!C50:E141,3,FALSE)</f>
        <v>0</v>
      </c>
      <c r="C59" s="925">
        <f t="shared" si="9"/>
        <v>0</v>
      </c>
      <c r="D59" s="373"/>
      <c r="H59" s="316"/>
    </row>
    <row r="60" spans="1:8" x14ac:dyDescent="0.3">
      <c r="A60" s="373" t="s">
        <v>320</v>
      </c>
      <c r="B60" s="924">
        <f>VLOOKUP('Avløpsbehandling-Resultater'!A60,'Vann og Avløp-utslippsfaktorer'!$A$3:$D$82,4,FALSE)*VLOOKUP('Avløpsbehandling-Resultater'!A60,'Avløpsbehandling - Input'!C51:E142,3,FALSE)</f>
        <v>0</v>
      </c>
      <c r="C60" s="925">
        <f t="shared" si="9"/>
        <v>0</v>
      </c>
      <c r="D60" s="373"/>
      <c r="H60" s="316"/>
    </row>
    <row r="61" spans="1:8" x14ac:dyDescent="0.3">
      <c r="A61" s="373" t="s">
        <v>281</v>
      </c>
      <c r="B61" s="924">
        <f>VLOOKUP('Avløpsbehandling-Resultater'!A61,'Vann og Avløp-utslippsfaktorer'!$A$3:$D$82,4,FALSE)*VLOOKUP('Avløpsbehandling-Resultater'!A61,'Avløpsbehandling - Input'!C52:E143,3,FALSE)</f>
        <v>0</v>
      </c>
      <c r="C61" s="925">
        <f t="shared" si="9"/>
        <v>0</v>
      </c>
      <c r="D61" s="373"/>
      <c r="H61" s="316"/>
    </row>
    <row r="62" spans="1:8" ht="15" thickBot="1" x14ac:dyDescent="0.35">
      <c r="A62" s="376" t="s">
        <v>282</v>
      </c>
      <c r="B62" s="926">
        <f>VLOOKUP('Avløpsbehandling-Resultater'!A62,'Vann og Avløp-utslippsfaktorer'!$A$3:$D$82,4,FALSE)*VLOOKUP('Avløpsbehandling-Resultater'!A62,'Avløpsbehandling - Input'!C53:E144,3,FALSE)</f>
        <v>0</v>
      </c>
      <c r="C62" s="927">
        <f t="shared" si="9"/>
        <v>0</v>
      </c>
      <c r="D62" s="376"/>
      <c r="E62" s="318"/>
      <c r="F62" s="318"/>
      <c r="G62" s="318"/>
      <c r="H62" s="320"/>
    </row>
    <row r="63" spans="1:8" ht="15" thickBot="1" x14ac:dyDescent="0.35"/>
    <row r="64" spans="1:8" ht="31.2" x14ac:dyDescent="0.3">
      <c r="A64" s="730" t="s">
        <v>402</v>
      </c>
      <c r="B64" s="311" t="s">
        <v>326</v>
      </c>
      <c r="C64" s="335"/>
      <c r="D64" s="381"/>
      <c r="E64" s="458"/>
      <c r="F64" s="458"/>
      <c r="G64" s="458"/>
      <c r="H64" s="459"/>
    </row>
    <row r="65" spans="1:8" x14ac:dyDescent="0.3">
      <c r="A65" s="373" t="s">
        <v>303</v>
      </c>
      <c r="B65" s="924">
        <f>VLOOKUP('Avløpsbehandling-Resultater'!A65,'Vann og Avløp-utslippsfaktorer'!$A$3:$D$82,4,FALSE)*VLOOKUP('Avløpsbehandling-Resultater'!A65,'Avløpsbehandling - Input'!C56:E147,3,FALSE)</f>
        <v>0</v>
      </c>
      <c r="C65" s="925">
        <f t="shared" ref="C65:C69" si="10">B65</f>
        <v>0</v>
      </c>
      <c r="D65" s="373"/>
      <c r="H65" s="316"/>
    </row>
    <row r="66" spans="1:8" ht="15.6" x14ac:dyDescent="0.35">
      <c r="A66" s="373" t="s">
        <v>304</v>
      </c>
      <c r="B66" s="924">
        <f>VLOOKUP('Avløpsbehandling-Resultater'!A66,'Vann og Avløp-utslippsfaktorer'!$A$3:$D$82,4,FALSE)*VLOOKUP('Avløpsbehandling-Resultater'!A66,'Avløpsbehandling - Input'!C57:E148,3,FALSE)</f>
        <v>0</v>
      </c>
      <c r="C66" s="925">
        <f t="shared" si="10"/>
        <v>0</v>
      </c>
      <c r="D66" s="373"/>
      <c r="H66" s="316"/>
    </row>
    <row r="67" spans="1:8" ht="15.6" x14ac:dyDescent="0.35">
      <c r="A67" s="373" t="s">
        <v>306</v>
      </c>
      <c r="B67" s="924">
        <f>VLOOKUP('Avløpsbehandling-Resultater'!A67,'Vann og Avløp-utslippsfaktorer'!$A$3:$D$82,4,FALSE)*VLOOKUP('Avløpsbehandling-Resultater'!A67,'Avløpsbehandling - Input'!C58:E149,3,FALSE)</f>
        <v>0</v>
      </c>
      <c r="C67" s="925">
        <f t="shared" si="10"/>
        <v>0</v>
      </c>
      <c r="D67" s="373"/>
      <c r="H67" s="316"/>
    </row>
    <row r="68" spans="1:8" x14ac:dyDescent="0.3">
      <c r="A68" s="373" t="s">
        <v>305</v>
      </c>
      <c r="B68" s="924">
        <f>VLOOKUP('Avløpsbehandling-Resultater'!A68,'Vann og Avløp-utslippsfaktorer'!$A$3:$D$82,4,FALSE)*VLOOKUP('Avløpsbehandling-Resultater'!A68,'Avløpsbehandling - Input'!C59:E150,3,FALSE)</f>
        <v>0</v>
      </c>
      <c r="C68" s="925">
        <f t="shared" si="10"/>
        <v>0</v>
      </c>
      <c r="D68" s="373"/>
      <c r="H68" s="316"/>
    </row>
    <row r="69" spans="1:8" ht="15" thickBot="1" x14ac:dyDescent="0.35">
      <c r="A69" s="376" t="s">
        <v>540</v>
      </c>
      <c r="B69" s="926">
        <f>VLOOKUP('Avløpsbehandling-Resultater'!A69,'Vann og Avløp-utslippsfaktorer'!$A$3:$D$82,4,FALSE)*VLOOKUP('Avløpsbehandling-Resultater'!A69,'Avløpsbehandling - Input'!C60:E151,3,FALSE)</f>
        <v>0</v>
      </c>
      <c r="C69" s="927">
        <f t="shared" si="10"/>
        <v>0</v>
      </c>
      <c r="D69" s="376"/>
      <c r="E69" s="318"/>
      <c r="F69" s="318"/>
      <c r="G69" s="318"/>
      <c r="H69" s="320"/>
    </row>
    <row r="70" spans="1:8" ht="15" thickBot="1" x14ac:dyDescent="0.35"/>
    <row r="71" spans="1:8" ht="15.6" x14ac:dyDescent="0.3">
      <c r="A71" s="695" t="s">
        <v>314</v>
      </c>
      <c r="B71" s="308" t="s">
        <v>326</v>
      </c>
      <c r="C71" s="335"/>
      <c r="D71" s="381"/>
      <c r="E71" s="458"/>
      <c r="F71" s="458"/>
      <c r="G71" s="458"/>
      <c r="H71" s="459"/>
    </row>
    <row r="72" spans="1:8" ht="15.6" x14ac:dyDescent="0.3">
      <c r="A72" s="668" t="s">
        <v>622</v>
      </c>
      <c r="B72" s="930">
        <f>VLOOKUP('Avløpsbehandling-Resultater'!A72,'Vann og Avløp-utslippsfaktorer'!$A$3:$D$82,4,FALSE)*VLOOKUP('Avløpsbehandling-Resultater'!A72,'Avløpsbehandling - Input'!C64:E152,3,FALSE)</f>
        <v>0</v>
      </c>
      <c r="C72" s="931">
        <f t="shared" ref="C72:C93" si="11">B72</f>
        <v>0</v>
      </c>
      <c r="D72" s="373"/>
      <c r="E72" s="313"/>
      <c r="F72" s="313"/>
      <c r="G72" s="313"/>
      <c r="H72" s="316"/>
    </row>
    <row r="73" spans="1:8" x14ac:dyDescent="0.3">
      <c r="A73" s="373" t="s">
        <v>909</v>
      </c>
      <c r="B73" s="930">
        <f>VLOOKUP('Avløpsbehandling-Resultater'!A73,'Vann og Avløp-utslippsfaktorer'!$A$3:$D$82,4,FALSE)*VLOOKUP('Avløpsbehandling-Resultater'!A73,'Avløpsbehandling - Input'!C65:E153,3,FALSE)</f>
        <v>0</v>
      </c>
      <c r="C73" s="931">
        <f t="shared" si="11"/>
        <v>0</v>
      </c>
      <c r="D73" s="373"/>
      <c r="H73" s="316"/>
    </row>
    <row r="74" spans="1:8" x14ac:dyDescent="0.3">
      <c r="A74" s="373" t="s">
        <v>910</v>
      </c>
      <c r="B74" s="930">
        <f>VLOOKUP('Avløpsbehandling-Resultater'!A74,'Vann og Avløp-utslippsfaktorer'!$A$3:$D$82,4,FALSE)*VLOOKUP('Avløpsbehandling-Resultater'!A74,'Avløpsbehandling - Input'!C66:E154,3,FALSE)</f>
        <v>0</v>
      </c>
      <c r="C74" s="931">
        <f t="shared" si="11"/>
        <v>0</v>
      </c>
      <c r="D74" s="373"/>
      <c r="H74" s="316"/>
    </row>
    <row r="75" spans="1:8" x14ac:dyDescent="0.3">
      <c r="A75" s="373" t="s">
        <v>911</v>
      </c>
      <c r="B75" s="930">
        <f>VLOOKUP('Avløpsbehandling-Resultater'!A75,'Vann og Avløp-utslippsfaktorer'!$A$3:$D$82,4,FALSE)*VLOOKUP('Avløpsbehandling-Resultater'!A75,'Avløpsbehandling - Input'!C67:E155,3,FALSE)</f>
        <v>0</v>
      </c>
      <c r="C75" s="931">
        <f t="shared" ref="C75" si="12">B75</f>
        <v>0</v>
      </c>
      <c r="D75" s="373"/>
      <c r="H75" s="316"/>
    </row>
    <row r="76" spans="1:8" x14ac:dyDescent="0.3">
      <c r="A76" s="373" t="s">
        <v>930</v>
      </c>
      <c r="B76" s="930">
        <f>VLOOKUP('Avløpsbehandling-Resultater'!A76,'Vann og Avløp-utslippsfaktorer'!$A$3:$D$82,4,FALSE)*VLOOKUP('Avløpsbehandling-Resultater'!A76,'Avløpsbehandling - Input'!C68:E156,3,FALSE)</f>
        <v>0</v>
      </c>
      <c r="C76" s="931">
        <f t="shared" ref="C76" si="13">B76</f>
        <v>0</v>
      </c>
      <c r="D76" s="373"/>
      <c r="H76" s="316"/>
    </row>
    <row r="77" spans="1:8" x14ac:dyDescent="0.3">
      <c r="A77" s="373" t="s">
        <v>22</v>
      </c>
      <c r="B77" s="930">
        <f>VLOOKUP('Avløpsbehandling-Resultater'!A77,'Vann og Avløp-utslippsfaktorer'!$A$3:$D$82,4,FALSE)*VLOOKUP('Avløpsbehandling-Resultater'!A77,'Avløpsbehandling - Input'!C69:E155,3,FALSE)</f>
        <v>0</v>
      </c>
      <c r="C77" s="931">
        <f t="shared" si="11"/>
        <v>0</v>
      </c>
      <c r="D77" s="373"/>
      <c r="H77" s="316"/>
    </row>
    <row r="78" spans="1:8" x14ac:dyDescent="0.3">
      <c r="A78" s="373" t="s">
        <v>21</v>
      </c>
      <c r="B78" s="930">
        <f>VLOOKUP('Avløpsbehandling-Resultater'!A78,'Vann og Avløp-utslippsfaktorer'!$A$3:$D$82,4,FALSE)*VLOOKUP('Avløpsbehandling-Resultater'!A78,'Avløpsbehandling - Input'!C70:E156,3,FALSE)</f>
        <v>0</v>
      </c>
      <c r="C78" s="931">
        <f t="shared" si="11"/>
        <v>0</v>
      </c>
      <c r="D78" s="373"/>
      <c r="H78" s="316"/>
    </row>
    <row r="79" spans="1:8" x14ac:dyDescent="0.3">
      <c r="A79" s="373" t="s">
        <v>386</v>
      </c>
      <c r="B79" s="930">
        <f>VLOOKUP('Avløpsbehandling-Resultater'!A79,'Vann og Avløp-utslippsfaktorer'!$A$3:$D$82,4,FALSE)*VLOOKUP('Avløpsbehandling-Resultater'!A79,'Avløpsbehandling - Input'!C71:E157,3,FALSE)</f>
        <v>0</v>
      </c>
      <c r="C79" s="931">
        <f t="shared" si="11"/>
        <v>0</v>
      </c>
      <c r="D79" s="373"/>
      <c r="H79" s="316"/>
    </row>
    <row r="80" spans="1:8" x14ac:dyDescent="0.3">
      <c r="A80" s="373" t="s">
        <v>313</v>
      </c>
      <c r="B80" s="930">
        <f>VLOOKUP('Avløpsbehandling-Resultater'!A80,'Vann og Avløp-utslippsfaktorer'!$A$3:$D$82,4,FALSE)*VLOOKUP('Avløpsbehandling-Resultater'!A80,'Avløpsbehandling - Input'!C72:E158,3,FALSE)</f>
        <v>0</v>
      </c>
      <c r="C80" s="931">
        <f t="shared" si="11"/>
        <v>0</v>
      </c>
      <c r="D80" s="373"/>
      <c r="H80" s="316"/>
    </row>
    <row r="81" spans="1:8" x14ac:dyDescent="0.3">
      <c r="A81" s="373" t="s">
        <v>299</v>
      </c>
      <c r="B81" s="930">
        <f>VLOOKUP('Avløpsbehandling-Resultater'!A81,'Vann og Avløp-utslippsfaktorer'!$A$3:$D$82,4,FALSE)*VLOOKUP('Avløpsbehandling-Resultater'!A81,'Avløpsbehandling - Input'!C73:E159,3,FALSE)</f>
        <v>0</v>
      </c>
      <c r="C81" s="931">
        <f t="shared" si="11"/>
        <v>0</v>
      </c>
      <c r="D81" s="373"/>
      <c r="H81" s="316"/>
    </row>
    <row r="82" spans="1:8" x14ac:dyDescent="0.3">
      <c r="A82" s="373" t="s">
        <v>500</v>
      </c>
      <c r="B82" s="930">
        <f>VLOOKUP('Avløpsbehandling-Resultater'!A82,'Vann og Avløp-utslippsfaktorer'!$A$3:$D$82,4,FALSE)*VLOOKUP('Avløpsbehandling-Resultater'!A82,'Avløpsbehandling - Input'!C74:E160,3,FALSE)</f>
        <v>0</v>
      </c>
      <c r="C82" s="931">
        <f t="shared" si="11"/>
        <v>0</v>
      </c>
      <c r="D82" s="373"/>
      <c r="H82" s="316"/>
    </row>
    <row r="83" spans="1:8" x14ac:dyDescent="0.3">
      <c r="A83" s="373" t="s">
        <v>566</v>
      </c>
      <c r="B83" s="930">
        <f>VLOOKUP('Avløpsbehandling-Resultater'!A83,'Vann og Avløp-utslippsfaktorer'!$A$3:$D$82,4,FALSE)*VLOOKUP('Avløpsbehandling-Resultater'!A83,'Avløpsbehandling - Input'!C75:E161,3,FALSE)</f>
        <v>0</v>
      </c>
      <c r="C83" s="931">
        <f t="shared" si="11"/>
        <v>0</v>
      </c>
      <c r="D83" s="373"/>
      <c r="H83" s="316"/>
    </row>
    <row r="84" spans="1:8" x14ac:dyDescent="0.3">
      <c r="A84" s="373" t="s">
        <v>286</v>
      </c>
      <c r="B84" s="930">
        <f>VLOOKUP('Avløpsbehandling-Resultater'!A84,'Vann og Avløp-utslippsfaktorer'!$A$3:$D$82,4,FALSE)*VLOOKUP('Avløpsbehandling-Resultater'!A84,'Avløpsbehandling - Input'!C76:E160,3,FALSE)</f>
        <v>0</v>
      </c>
      <c r="C84" s="931">
        <f t="shared" si="11"/>
        <v>0</v>
      </c>
      <c r="D84" s="373"/>
      <c r="H84" s="316"/>
    </row>
    <row r="85" spans="1:8" x14ac:dyDescent="0.3">
      <c r="A85" s="373" t="s">
        <v>975</v>
      </c>
      <c r="B85" s="930">
        <f>VLOOKUP('Avløpsbehandling-Resultater'!A85,'Vann og Avløp-utslippsfaktorer'!$A$3:$D$82,4,FALSE)*VLOOKUP('Avløpsbehandling-Resultater'!A85,'Avløpsbehandling - Input'!C77:E161,3,FALSE)</f>
        <v>0</v>
      </c>
      <c r="C85" s="931">
        <f t="shared" ref="C85" si="14">B85</f>
        <v>0</v>
      </c>
      <c r="D85" s="373"/>
      <c r="H85" s="316"/>
    </row>
    <row r="86" spans="1:8" x14ac:dyDescent="0.3">
      <c r="A86" s="373" t="s">
        <v>302</v>
      </c>
      <c r="B86" s="930">
        <f>VLOOKUP('Avløpsbehandling-Resultater'!A86,'Vann og Avløp-utslippsfaktorer'!$A$3:$D$82,4,FALSE)*VLOOKUP('Avløpsbehandling-Resultater'!A86,'Avløpsbehandling - Input'!C78:E161,3,FALSE)</f>
        <v>0</v>
      </c>
      <c r="C86" s="931">
        <f t="shared" si="11"/>
        <v>0</v>
      </c>
      <c r="D86" s="373"/>
      <c r="H86" s="316"/>
    </row>
    <row r="87" spans="1:8" x14ac:dyDescent="0.3">
      <c r="A87" s="373" t="s">
        <v>23</v>
      </c>
      <c r="B87" s="930">
        <f>VLOOKUP('Avløpsbehandling-Resultater'!A87,'Vann og Avløp-utslippsfaktorer'!$A$3:$D$88,4,FALSE)*VLOOKUP('Avløpsbehandling-Resultater'!A87,'Avløpsbehandling - Input'!C79:E162,3,FALSE)</f>
        <v>0</v>
      </c>
      <c r="C87" s="931">
        <f t="shared" si="11"/>
        <v>0</v>
      </c>
      <c r="D87" s="373"/>
      <c r="H87" s="316"/>
    </row>
    <row r="88" spans="1:8" x14ac:dyDescent="0.3">
      <c r="A88" s="373" t="s">
        <v>285</v>
      </c>
      <c r="B88" s="930">
        <f>VLOOKUP('Avløpsbehandling-Resultater'!A88,'Vann og Avløp-utslippsfaktorer'!$A$3:$D$88,4,FALSE)*VLOOKUP('Avløpsbehandling-Resultater'!A88,'Avløpsbehandling - Input'!C80:E163,3,FALSE)</f>
        <v>0</v>
      </c>
      <c r="C88" s="931">
        <f t="shared" si="11"/>
        <v>0</v>
      </c>
      <c r="D88" s="373"/>
      <c r="H88" s="316"/>
    </row>
    <row r="89" spans="1:8" x14ac:dyDescent="0.3">
      <c r="A89" s="373" t="s">
        <v>287</v>
      </c>
      <c r="B89" s="930">
        <f>VLOOKUP('Avløpsbehandling-Resultater'!A89,'Vann og Avløp-utslippsfaktorer'!$A$3:$D$88,4,FALSE)*VLOOKUP('Avløpsbehandling-Resultater'!A89,'Avløpsbehandling - Input'!C81:E164,3,FALSE)</f>
        <v>0</v>
      </c>
      <c r="C89" s="931">
        <f t="shared" si="11"/>
        <v>0</v>
      </c>
      <c r="D89" s="373"/>
      <c r="H89" s="316"/>
    </row>
    <row r="90" spans="1:8" x14ac:dyDescent="0.3">
      <c r="A90" s="373" t="s">
        <v>311</v>
      </c>
      <c r="B90" s="930">
        <f>VLOOKUP('Avløpsbehandling-Resultater'!A90,'Vann og Avløp-utslippsfaktorer'!$A$3:$D$88,4,FALSE)*VLOOKUP('Avløpsbehandling-Resultater'!A90,'Avløpsbehandling - Input'!C82:E165,3,FALSE)</f>
        <v>0</v>
      </c>
      <c r="C90" s="931">
        <f t="shared" si="11"/>
        <v>0</v>
      </c>
      <c r="D90" s="373"/>
      <c r="H90" s="316"/>
    </row>
    <row r="91" spans="1:8" x14ac:dyDescent="0.3">
      <c r="A91" s="373" t="s">
        <v>301</v>
      </c>
      <c r="B91" s="930">
        <f>VLOOKUP('Avløpsbehandling-Resultater'!A91,'Vann og Avløp-utslippsfaktorer'!$A$3:$D$88,4,FALSE)*VLOOKUP('Avløpsbehandling-Resultater'!A91,'Avløpsbehandling - Input'!C83:E166,3,FALSE)</f>
        <v>0</v>
      </c>
      <c r="C91" s="931">
        <f t="shared" si="11"/>
        <v>0</v>
      </c>
      <c r="D91" s="373"/>
      <c r="H91" s="316"/>
    </row>
    <row r="92" spans="1:8" x14ac:dyDescent="0.3">
      <c r="A92" s="373" t="s">
        <v>312</v>
      </c>
      <c r="B92" s="930">
        <f>VLOOKUP('Avløpsbehandling-Resultater'!A92,'Vann og Avløp-utslippsfaktorer'!$A$3:$D$88,4,FALSE)*VLOOKUP('Avløpsbehandling-Resultater'!A92,'Avløpsbehandling - Input'!C84:E167,3,FALSE)</f>
        <v>0</v>
      </c>
      <c r="C92" s="931">
        <f t="shared" si="11"/>
        <v>0</v>
      </c>
      <c r="D92" s="373"/>
      <c r="H92" s="316"/>
    </row>
    <row r="93" spans="1:8" ht="15" thickBot="1" x14ac:dyDescent="0.35">
      <c r="A93" s="376" t="s">
        <v>498</v>
      </c>
      <c r="B93" s="932">
        <f>VLOOKUP('Avløpsbehandling-Resultater'!A93,'Vann og Avløp-utslippsfaktorer'!$A$3:$D$141,4,FALSE)*VLOOKUP('Avløpsbehandling-Resultater'!A93,'Avløpsbehandling - Input'!C85:E168,3,FALSE)</f>
        <v>0</v>
      </c>
      <c r="C93" s="933">
        <f t="shared" si="11"/>
        <v>0</v>
      </c>
      <c r="D93" s="376"/>
      <c r="E93" s="318"/>
      <c r="F93" s="318"/>
      <c r="G93" s="318"/>
      <c r="H93" s="320"/>
    </row>
    <row r="94" spans="1:8" ht="15" thickBot="1" x14ac:dyDescent="0.35"/>
    <row r="95" spans="1:8" ht="15.6" x14ac:dyDescent="0.3">
      <c r="A95" s="695" t="s">
        <v>690</v>
      </c>
      <c r="B95" s="311" t="s">
        <v>326</v>
      </c>
      <c r="C95" s="459"/>
    </row>
    <row r="96" spans="1:8" x14ac:dyDescent="0.3">
      <c r="A96" s="957" t="str">
        <f>'Avløpsbehandling - Input'!C89</f>
        <v>F.eks Klor 15 %, mengde klor oppgis uten vann i tonn/år</v>
      </c>
      <c r="B96" s="940">
        <f>'Avløpsbehandling - Input'!E89*'Avløpsbehandling - Input'!B89</f>
        <v>0</v>
      </c>
      <c r="C96" s="942">
        <f>B96</f>
        <v>0</v>
      </c>
    </row>
    <row r="97" spans="1:8" x14ac:dyDescent="0.3">
      <c r="A97" s="958" t="str">
        <f>'Avløpsbehandling - Input'!C90</f>
        <v>Skriv navn på vare her</v>
      </c>
      <c r="B97" s="940">
        <f>'Avløpsbehandling - Input'!E90*'Avløpsbehandling - Input'!B90</f>
        <v>0</v>
      </c>
      <c r="C97" s="940">
        <f>B97</f>
        <v>0</v>
      </c>
    </row>
    <row r="98" spans="1:8" x14ac:dyDescent="0.3">
      <c r="A98" s="958" t="str">
        <f>'Avløpsbehandling - Input'!C91</f>
        <v>Skriv navn på vare her</v>
      </c>
      <c r="B98" s="940">
        <f>'Avløpsbehandling - Input'!E91*'Avløpsbehandling - Input'!B91</f>
        <v>0</v>
      </c>
      <c r="C98" s="940">
        <f t="shared" ref="C98:C104" si="15">B98</f>
        <v>0</v>
      </c>
    </row>
    <row r="99" spans="1:8" x14ac:dyDescent="0.3">
      <c r="A99" s="958" t="str">
        <f>'Avløpsbehandling - Input'!C92</f>
        <v>Skriv navn på vare her</v>
      </c>
      <c r="B99" s="940">
        <f>'Avløpsbehandling - Input'!E92*'Avløpsbehandling - Input'!B92</f>
        <v>0</v>
      </c>
      <c r="C99" s="940">
        <f t="shared" si="15"/>
        <v>0</v>
      </c>
    </row>
    <row r="100" spans="1:8" x14ac:dyDescent="0.3">
      <c r="A100" s="958" t="str">
        <f>'Avløpsbehandling - Input'!C93</f>
        <v>Skriv navn på vare her</v>
      </c>
      <c r="B100" s="940">
        <f>'Avløpsbehandling - Input'!E93*'Avløpsbehandling - Input'!B93</f>
        <v>0</v>
      </c>
      <c r="C100" s="940">
        <f t="shared" si="15"/>
        <v>0</v>
      </c>
    </row>
    <row r="101" spans="1:8" x14ac:dyDescent="0.3">
      <c r="A101" s="958" t="str">
        <f>'Avløpsbehandling - Input'!C94</f>
        <v>Skriv navn på vare her</v>
      </c>
      <c r="B101" s="940">
        <f>'Avløpsbehandling - Input'!E94*'Avløpsbehandling - Input'!B94</f>
        <v>0</v>
      </c>
      <c r="C101" s="940">
        <f t="shared" si="15"/>
        <v>0</v>
      </c>
    </row>
    <row r="102" spans="1:8" x14ac:dyDescent="0.3">
      <c r="A102" s="958" t="str">
        <f>'Avløpsbehandling - Input'!C95</f>
        <v>Skriv navn på vare her</v>
      </c>
      <c r="B102" s="940">
        <f>'Avløpsbehandling - Input'!E95*'Avløpsbehandling - Input'!B95</f>
        <v>0</v>
      </c>
      <c r="C102" s="940">
        <f t="shared" si="15"/>
        <v>0</v>
      </c>
    </row>
    <row r="103" spans="1:8" x14ac:dyDescent="0.3">
      <c r="A103" s="958" t="str">
        <f>'Avløpsbehandling - Input'!C96</f>
        <v>Skriv navn på vare her</v>
      </c>
      <c r="B103" s="940">
        <f>'Avløpsbehandling - Input'!E96*'Avløpsbehandling - Input'!B96</f>
        <v>0</v>
      </c>
      <c r="C103" s="940">
        <f t="shared" si="15"/>
        <v>0</v>
      </c>
    </row>
    <row r="104" spans="1:8" x14ac:dyDescent="0.3">
      <c r="A104" s="958" t="str">
        <f>'Avløpsbehandling - Input'!C97</f>
        <v>Skriv navn på vare her</v>
      </c>
      <c r="B104" s="940">
        <f>'Avløpsbehandling - Input'!E97*'Avløpsbehandling - Input'!B97</f>
        <v>0</v>
      </c>
      <c r="C104" s="940">
        <f t="shared" si="15"/>
        <v>0</v>
      </c>
    </row>
    <row r="105" spans="1:8" ht="15" thickBot="1" x14ac:dyDescent="0.35">
      <c r="A105" s="959" t="str">
        <f>'Avløpsbehandling - Input'!C98</f>
        <v>Skriv navn på vare her</v>
      </c>
      <c r="B105" s="941">
        <f>'Avløpsbehandling - Input'!E98*'Avløpsbehandling - Input'!B98</f>
        <v>0</v>
      </c>
      <c r="C105" s="941">
        <f>B105</f>
        <v>0</v>
      </c>
    </row>
    <row r="106" spans="1:8" ht="15" thickBot="1" x14ac:dyDescent="0.35"/>
    <row r="107" spans="1:8" ht="15.6" x14ac:dyDescent="0.3">
      <c r="A107" s="695" t="s">
        <v>26</v>
      </c>
      <c r="B107" s="489" t="s">
        <v>326</v>
      </c>
      <c r="C107" s="335"/>
      <c r="D107" s="381"/>
      <c r="E107" s="458"/>
      <c r="F107" s="458"/>
      <c r="G107" s="458"/>
      <c r="H107" s="459"/>
    </row>
    <row r="108" spans="1:8" x14ac:dyDescent="0.3">
      <c r="A108" s="706" t="s">
        <v>15</v>
      </c>
      <c r="B108" s="942">
        <f>SUM('Avløpsbehandling - Input'!AH16:AP20)</f>
        <v>0</v>
      </c>
      <c r="C108" s="925">
        <f t="shared" ref="C108:C114" si="16">B108</f>
        <v>0</v>
      </c>
      <c r="D108" s="373"/>
      <c r="H108" s="316"/>
    </row>
    <row r="109" spans="1:8" x14ac:dyDescent="0.3">
      <c r="A109" s="731" t="s">
        <v>401</v>
      </c>
      <c r="B109" s="960">
        <f>SUM('Avløpsbehandling - Input'!AH24:AP44)</f>
        <v>0</v>
      </c>
      <c r="C109" s="925">
        <f t="shared" si="16"/>
        <v>0</v>
      </c>
      <c r="D109" s="373"/>
      <c r="H109" s="316"/>
    </row>
    <row r="110" spans="1:8" x14ac:dyDescent="0.3">
      <c r="A110" s="472" t="s">
        <v>316</v>
      </c>
      <c r="B110" s="940">
        <f>SUM('Avløpsbehandling - Input'!AH47:AP53)</f>
        <v>0</v>
      </c>
      <c r="C110" s="925">
        <f t="shared" si="16"/>
        <v>0</v>
      </c>
      <c r="D110" s="373"/>
      <c r="H110" s="316"/>
    </row>
    <row r="111" spans="1:8" x14ac:dyDescent="0.3">
      <c r="A111" s="724" t="s">
        <v>402</v>
      </c>
      <c r="B111" s="940">
        <f>SUM('Avløpsbehandling - Input'!AH56:AP60)</f>
        <v>0</v>
      </c>
      <c r="C111" s="925">
        <f t="shared" si="16"/>
        <v>0</v>
      </c>
      <c r="D111" s="373"/>
      <c r="H111" s="316"/>
    </row>
    <row r="112" spans="1:8" x14ac:dyDescent="0.3">
      <c r="A112" s="472" t="s">
        <v>314</v>
      </c>
      <c r="B112" s="940">
        <f>SUM('Avløpsbehandling - Input'!AH64:AP85)</f>
        <v>0</v>
      </c>
      <c r="C112" s="925">
        <f t="shared" si="16"/>
        <v>0</v>
      </c>
      <c r="D112" s="373"/>
      <c r="H112" s="316"/>
    </row>
    <row r="113" spans="1:8" x14ac:dyDescent="0.3">
      <c r="A113" s="472" t="s">
        <v>690</v>
      </c>
      <c r="B113" s="940">
        <f>SUM('Avløpsbehandling - Input'!AH89:AP98)</f>
        <v>0</v>
      </c>
      <c r="C113" s="925">
        <f t="shared" si="16"/>
        <v>0</v>
      </c>
      <c r="D113" s="373"/>
      <c r="H113" s="316"/>
    </row>
    <row r="114" spans="1:8" ht="15" thickBot="1" x14ac:dyDescent="0.35">
      <c r="A114" s="732" t="s">
        <v>804</v>
      </c>
      <c r="B114" s="941">
        <f>SUM('Avløpsbehandling - Input'!AH101:AP103)</f>
        <v>0</v>
      </c>
      <c r="C114" s="927">
        <f t="shared" si="16"/>
        <v>0</v>
      </c>
      <c r="D114" s="376"/>
      <c r="E114" s="318"/>
      <c r="F114" s="318"/>
      <c r="G114" s="318"/>
      <c r="H114" s="320"/>
    </row>
    <row r="116" spans="1:8" ht="16.2" thickBot="1" x14ac:dyDescent="0.35">
      <c r="A116" s="517" t="s">
        <v>333</v>
      </c>
    </row>
    <row r="117" spans="1:8" x14ac:dyDescent="0.3">
      <c r="A117" s="370" t="s">
        <v>247</v>
      </c>
      <c r="B117" s="336" t="s">
        <v>206</v>
      </c>
      <c r="C117" s="308" t="s">
        <v>207</v>
      </c>
      <c r="D117" s="311" t="s">
        <v>334</v>
      </c>
    </row>
    <row r="118" spans="1:8" x14ac:dyDescent="0.3">
      <c r="A118" s="373" t="s">
        <v>728</v>
      </c>
      <c r="B118" s="700"/>
      <c r="C118" s="925">
        <f>'Avløp direkteutslipp og biogass'!G7</f>
        <v>0</v>
      </c>
      <c r="D118" s="940">
        <f>B118*'Vann og Avløp-utslippsfaktorer'!$B$24+C118*'Vann og Avløp-utslippsfaktorer'!$B$25</f>
        <v>0</v>
      </c>
    </row>
    <row r="119" spans="1:8" x14ac:dyDescent="0.3">
      <c r="A119" s="373" t="s">
        <v>760</v>
      </c>
      <c r="B119" s="733"/>
      <c r="C119" s="734"/>
      <c r="D119" s="940">
        <f>SUM('Avløp direkteutslipp og biogass'!G18:G20)</f>
        <v>0</v>
      </c>
    </row>
    <row r="120" spans="1:8" x14ac:dyDescent="0.3">
      <c r="A120" s="373" t="s">
        <v>844</v>
      </c>
      <c r="B120" s="930">
        <f>SUM('Avløp direkteutslipp og biogass'!G14:G15)</f>
        <v>0</v>
      </c>
      <c r="C120" s="697"/>
      <c r="D120" s="940">
        <f>B120*'Vann og Avløp-utslippsfaktorer'!$B$24+C120*'Vann og Avløp-utslippsfaktorer'!$B$25</f>
        <v>0</v>
      </c>
    </row>
    <row r="121" spans="1:8" ht="15" thickBot="1" x14ac:dyDescent="0.35">
      <c r="A121" s="723" t="s">
        <v>254</v>
      </c>
      <c r="B121" s="961">
        <f>SUM(B118:B120)</f>
        <v>0</v>
      </c>
      <c r="C121" s="962">
        <f>SUM(C118:C120)</f>
        <v>0</v>
      </c>
      <c r="D121" s="963">
        <f>SUM(D118:D118,D119:D120)</f>
        <v>0</v>
      </c>
    </row>
    <row r="122" spans="1:8" x14ac:dyDescent="0.3">
      <c r="B122" s="698"/>
      <c r="C122" s="698"/>
      <c r="D122" s="698"/>
    </row>
    <row r="124" spans="1:8" x14ac:dyDescent="0.3">
      <c r="A124" s="388" t="s">
        <v>375</v>
      </c>
      <c r="D124" s="388" t="s">
        <v>381</v>
      </c>
    </row>
    <row r="125" spans="1:8" x14ac:dyDescent="0.3">
      <c r="A125" s="388" t="s">
        <v>332</v>
      </c>
    </row>
  </sheetData>
  <sheetProtection algorithmName="SHA-512" hashValue="35juDN1KRsRRmm/mAwUG7YY8ACSHJYyktrrzqj3h2OGw23TBs50qJQd4Y/8bUu+TSvE6gWv5RqJ6lHtub0ItTQ==" saltValue="Yc1nPTbTA/w5aDMeeZ6tdw==" spinCount="100000" sheet="1" objects="1" scenarios="1" formatColumns="0" formatRows="0"/>
  <conditionalFormatting sqref="C106:C114 C16:C33 C35:C94">
    <cfRule type="dataBar" priority="38">
      <dataBar showValue="0">
        <cfvo type="min"/>
        <cfvo type="max"/>
        <color rgb="FFFF0000"/>
      </dataBar>
      <extLst>
        <ext xmlns:x14="http://schemas.microsoft.com/office/spreadsheetml/2009/9/main" uri="{B025F937-C7B1-47D3-B67F-A62EFF666E3E}">
          <x14:id>{ECA70A69-F5B5-45F2-8ADC-1A13C6B879B5}</x14:id>
        </ext>
      </extLst>
    </cfRule>
  </conditionalFormatting>
  <conditionalFormatting sqref="C34">
    <cfRule type="dataBar" priority="4">
      <dataBar showValue="0">
        <cfvo type="min"/>
        <cfvo type="max"/>
        <color rgb="FFFF0000"/>
      </dataBar>
      <extLst>
        <ext xmlns:x14="http://schemas.microsoft.com/office/spreadsheetml/2009/9/main" uri="{B025F937-C7B1-47D3-B67F-A62EFF666E3E}">
          <x14:id>{411F5947-81CD-42EA-9C30-F3D002BB7C22}</x14:id>
        </ext>
      </extLst>
    </cfRule>
  </conditionalFormatting>
  <conditionalFormatting sqref="C105 C95">
    <cfRule type="dataBar" priority="3">
      <dataBar showValue="0">
        <cfvo type="min"/>
        <cfvo type="max"/>
        <color rgb="FFFF555A"/>
      </dataBar>
      <extLst>
        <ext xmlns:x14="http://schemas.microsoft.com/office/spreadsheetml/2009/9/main" uri="{B025F937-C7B1-47D3-B67F-A62EFF666E3E}">
          <x14:id>{660A771D-05C9-4B8F-9436-09EB45A97491}</x14:id>
        </ext>
      </extLst>
    </cfRule>
  </conditionalFormatting>
  <conditionalFormatting sqref="C96">
    <cfRule type="dataBar" priority="2">
      <dataBar showValue="0">
        <cfvo type="min"/>
        <cfvo type="max"/>
        <color rgb="FFFF555A"/>
      </dataBar>
      <extLst>
        <ext xmlns:x14="http://schemas.microsoft.com/office/spreadsheetml/2009/9/main" uri="{B025F937-C7B1-47D3-B67F-A62EFF666E3E}">
          <x14:id>{839A22EA-0EF4-43A9-80AB-8CE50A6975B2}</x14:id>
        </ext>
      </extLst>
    </cfRule>
  </conditionalFormatting>
  <conditionalFormatting sqref="C97:C104">
    <cfRule type="dataBar" priority="1">
      <dataBar showValue="0">
        <cfvo type="min"/>
        <cfvo type="max"/>
        <color rgb="FFFF555A"/>
      </dataBar>
      <extLst>
        <ext xmlns:x14="http://schemas.microsoft.com/office/spreadsheetml/2009/9/main" uri="{B025F937-C7B1-47D3-B67F-A62EFF666E3E}">
          <x14:id>{9C856D44-53C3-4B76-B946-F5EAB44DAB84}</x14:id>
        </ext>
      </extLst>
    </cfRule>
  </conditionalFormatting>
  <hyperlinks>
    <hyperlink ref="A124" location="Innledning!A1" display="Tilbake til forside" xr:uid="{00000000-0004-0000-0900-000000000000}"/>
    <hyperlink ref="D124" location="Sammendrag!A1" display="Sammendrag" xr:uid="{00000000-0004-0000-0900-000001000000}"/>
    <hyperlink ref="A125" location="'Vann og Avløp-utslippsfaktorer'!A1" display="Utslippsfaktorer" xr:uid="{00000000-0004-0000-0900-000002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ECA70A69-F5B5-45F2-8ADC-1A13C6B879B5}">
            <x14:dataBar minLength="0" maxLength="100" gradient="0">
              <x14:cfvo type="autoMin"/>
              <x14:cfvo type="autoMax"/>
              <x14:negativeFillColor rgb="FFFF0000"/>
              <x14:axisColor rgb="FF000000"/>
            </x14:dataBar>
          </x14:cfRule>
          <xm:sqref>C106:C114 C16:C33 C35:C94</xm:sqref>
        </x14:conditionalFormatting>
        <x14:conditionalFormatting xmlns:xm="http://schemas.microsoft.com/office/excel/2006/main">
          <x14:cfRule type="dataBar" id="{411F5947-81CD-42EA-9C30-F3D002BB7C22}">
            <x14:dataBar minLength="0" maxLength="100" gradient="0">
              <x14:cfvo type="autoMin"/>
              <x14:cfvo type="autoMax"/>
              <x14:negativeFillColor rgb="FFFF0000"/>
              <x14:axisColor rgb="FF000000"/>
            </x14:dataBar>
          </x14:cfRule>
          <xm:sqref>C34</xm:sqref>
        </x14:conditionalFormatting>
        <x14:conditionalFormatting xmlns:xm="http://schemas.microsoft.com/office/excel/2006/main">
          <x14:cfRule type="dataBar" id="{660A771D-05C9-4B8F-9436-09EB45A97491}">
            <x14:dataBar minLength="0" maxLength="100" gradient="0">
              <x14:cfvo type="autoMin"/>
              <x14:cfvo type="autoMax"/>
              <x14:negativeFillColor rgb="FFFF0000"/>
              <x14:axisColor rgb="FF000000"/>
            </x14:dataBar>
          </x14:cfRule>
          <xm:sqref>C105 C95</xm:sqref>
        </x14:conditionalFormatting>
        <x14:conditionalFormatting xmlns:xm="http://schemas.microsoft.com/office/excel/2006/main">
          <x14:cfRule type="dataBar" id="{839A22EA-0EF4-43A9-80AB-8CE50A6975B2}">
            <x14:dataBar minLength="0" maxLength="100" gradient="0">
              <x14:cfvo type="autoMin"/>
              <x14:cfvo type="autoMax"/>
              <x14:negativeFillColor rgb="FFFF0000"/>
              <x14:axisColor rgb="FF000000"/>
            </x14:dataBar>
          </x14:cfRule>
          <xm:sqref>C96</xm:sqref>
        </x14:conditionalFormatting>
        <x14:conditionalFormatting xmlns:xm="http://schemas.microsoft.com/office/excel/2006/main">
          <x14:cfRule type="dataBar" id="{9C856D44-53C3-4B76-B946-F5EAB44DAB84}">
            <x14:dataBar minLength="0" maxLength="100" gradient="0">
              <x14:cfvo type="autoMin"/>
              <x14:cfvo type="autoMax"/>
              <x14:negativeFillColor rgb="FFFF0000"/>
              <x14:axisColor rgb="FF000000"/>
            </x14:dataBar>
          </x14:cfRule>
          <xm:sqref>C97:C104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A141F-CCEB-4475-9521-D5EE1FE011C8}">
  <sheetPr>
    <tabColor theme="9"/>
  </sheetPr>
  <dimension ref="A1:O63"/>
  <sheetViews>
    <sheetView workbookViewId="0"/>
  </sheetViews>
  <sheetFormatPr baseColWidth="10" defaultColWidth="11.44140625" defaultRowHeight="14.4" x14ac:dyDescent="0.3"/>
  <cols>
    <col min="1" max="1" width="32.88671875" style="301" customWidth="1"/>
    <col min="2" max="2" width="15.5546875" style="301" bestFit="1" customWidth="1"/>
    <col min="3" max="4" width="11.44140625" style="301"/>
    <col min="5" max="5" width="32.5546875" style="301" customWidth="1"/>
    <col min="6" max="6" width="13.44140625" style="301" customWidth="1"/>
    <col min="7" max="7" width="16.109375" style="301" bestFit="1" customWidth="1"/>
    <col min="8" max="8" width="11.44140625" style="301"/>
    <col min="9" max="9" width="29.33203125" style="301" bestFit="1" customWidth="1"/>
    <col min="10" max="10" width="13.5546875" style="301" bestFit="1" customWidth="1"/>
    <col min="11" max="11" width="16.109375" style="301" bestFit="1" customWidth="1"/>
    <col min="12" max="12" width="11.44140625" style="301"/>
    <col min="13" max="13" width="25.44140625" style="301" bestFit="1" customWidth="1"/>
    <col min="14" max="14" width="11.44140625" style="301"/>
    <col min="15" max="15" width="14.88671875" style="301" customWidth="1"/>
    <col min="16" max="16384" width="11.44140625" style="301"/>
  </cols>
  <sheetData>
    <row r="1" spans="1:15" ht="15" thickBot="1" x14ac:dyDescent="0.35">
      <c r="A1" s="415" t="s">
        <v>719</v>
      </c>
      <c r="E1" s="334" t="s">
        <v>733</v>
      </c>
      <c r="I1" s="334" t="s">
        <v>332</v>
      </c>
      <c r="M1" s="334" t="s">
        <v>659</v>
      </c>
    </row>
    <row r="2" spans="1:15" x14ac:dyDescent="0.3">
      <c r="A2" s="416" t="s">
        <v>813</v>
      </c>
      <c r="B2" s="336" t="s">
        <v>515</v>
      </c>
      <c r="C2" s="337" t="s">
        <v>444</v>
      </c>
      <c r="E2" s="370" t="s">
        <v>335</v>
      </c>
      <c r="F2" s="336" t="s">
        <v>726</v>
      </c>
      <c r="G2" s="337" t="s">
        <v>444</v>
      </c>
      <c r="I2" s="370" t="s">
        <v>335</v>
      </c>
      <c r="J2" s="336" t="s">
        <v>330</v>
      </c>
      <c r="K2" s="337" t="s">
        <v>714</v>
      </c>
      <c r="M2" s="378"/>
      <c r="N2" s="336" t="s">
        <v>515</v>
      </c>
      <c r="O2" s="337" t="s">
        <v>444</v>
      </c>
    </row>
    <row r="3" spans="1:15" x14ac:dyDescent="0.3">
      <c r="A3" s="373" t="s">
        <v>721</v>
      </c>
      <c r="B3" s="360">
        <v>0</v>
      </c>
      <c r="C3" s="395" t="s">
        <v>652</v>
      </c>
      <c r="E3" s="373" t="s">
        <v>721</v>
      </c>
      <c r="F3" s="950">
        <f>-B3*J3</f>
        <v>0</v>
      </c>
      <c r="G3" s="395" t="s">
        <v>708</v>
      </c>
      <c r="I3" s="868" t="str">
        <f>'Vann og Avløp-utslippsfaktorer'!A3</f>
        <v>Elektrisitet, Norsk forbruksmiks</v>
      </c>
      <c r="J3" s="473">
        <f>'Vann og Avløp-utslippsfaktorer'!D3</f>
        <v>3.61E-2</v>
      </c>
      <c r="K3" s="395" t="s">
        <v>699</v>
      </c>
      <c r="M3" s="373" t="s">
        <v>183</v>
      </c>
      <c r="N3" s="374">
        <v>0.66</v>
      </c>
      <c r="O3" s="395" t="s">
        <v>737</v>
      </c>
    </row>
    <row r="4" spans="1:15" ht="15" thickBot="1" x14ac:dyDescent="0.35">
      <c r="A4" s="376" t="s">
        <v>720</v>
      </c>
      <c r="B4" s="329">
        <v>0</v>
      </c>
      <c r="C4" s="397" t="s">
        <v>652</v>
      </c>
      <c r="E4" s="376" t="s">
        <v>720</v>
      </c>
      <c r="F4" s="951">
        <f>-B4*J4</f>
        <v>0</v>
      </c>
      <c r="G4" s="397" t="s">
        <v>708</v>
      </c>
      <c r="I4" s="915" t="str">
        <f>'Vann og Avløp-utslippsfaktorer'!A4</f>
        <v>Fjernvarme</v>
      </c>
      <c r="J4" s="479">
        <f>'Vann og Avløp-utslippsfaktorer'!D4</f>
        <v>0.182</v>
      </c>
      <c r="K4" s="397" t="s">
        <v>699</v>
      </c>
      <c r="M4" s="373" t="s">
        <v>736</v>
      </c>
      <c r="N4" s="473">
        <f>50*0.66</f>
        <v>33</v>
      </c>
      <c r="O4" s="395" t="s">
        <v>738</v>
      </c>
    </row>
    <row r="5" spans="1:15" ht="15" thickBot="1" x14ac:dyDescent="0.35">
      <c r="A5" s="313"/>
      <c r="B5" s="313"/>
      <c r="C5" s="313"/>
      <c r="E5" s="735" t="s">
        <v>767</v>
      </c>
      <c r="F5" s="1056">
        <f>SUM(F3:F4)</f>
        <v>0</v>
      </c>
      <c r="G5" s="653" t="s">
        <v>708</v>
      </c>
      <c r="I5" s="376" t="s">
        <v>732</v>
      </c>
      <c r="J5" s="479">
        <f>N5*N4</f>
        <v>3.0392999999999994</v>
      </c>
      <c r="K5" s="397" t="s">
        <v>734</v>
      </c>
      <c r="M5" s="376" t="s">
        <v>735</v>
      </c>
      <c r="N5" s="411">
        <f>'Utslippsfaktorer Transport'!E37/1000</f>
        <v>9.2099999999999987E-2</v>
      </c>
      <c r="O5" s="397" t="s">
        <v>739</v>
      </c>
    </row>
    <row r="6" spans="1:15" ht="15" thickBot="1" x14ac:dyDescent="0.35">
      <c r="A6" s="313"/>
      <c r="B6" s="313"/>
      <c r="C6" s="313"/>
      <c r="E6" s="313"/>
      <c r="F6" s="313"/>
      <c r="G6" s="313"/>
      <c r="I6" s="313"/>
      <c r="J6" s="313"/>
      <c r="K6" s="313"/>
      <c r="M6" s="334"/>
    </row>
    <row r="7" spans="1:15" x14ac:dyDescent="0.3">
      <c r="A7" s="416" t="s">
        <v>812</v>
      </c>
      <c r="B7" s="336" t="s">
        <v>515</v>
      </c>
      <c r="C7" s="337" t="s">
        <v>444</v>
      </c>
      <c r="E7" s="370" t="s">
        <v>812</v>
      </c>
      <c r="F7" s="336" t="s">
        <v>726</v>
      </c>
      <c r="G7" s="337" t="s">
        <v>444</v>
      </c>
      <c r="I7" s="313"/>
      <c r="J7" s="313"/>
      <c r="K7" s="313"/>
      <c r="M7" s="334"/>
    </row>
    <row r="8" spans="1:15" x14ac:dyDescent="0.3">
      <c r="A8" s="373" t="s">
        <v>721</v>
      </c>
      <c r="B8" s="360">
        <v>0</v>
      </c>
      <c r="C8" s="395" t="s">
        <v>652</v>
      </c>
      <c r="E8" s="373" t="s">
        <v>721</v>
      </c>
      <c r="F8" s="950">
        <f>-B8*J3</f>
        <v>0</v>
      </c>
      <c r="G8" s="395" t="s">
        <v>708</v>
      </c>
      <c r="I8" s="313"/>
      <c r="J8" s="313"/>
      <c r="K8" s="313"/>
      <c r="M8" s="334"/>
    </row>
    <row r="9" spans="1:15" ht="15" thickBot="1" x14ac:dyDescent="0.35">
      <c r="A9" s="376" t="s">
        <v>720</v>
      </c>
      <c r="B9" s="329">
        <v>0</v>
      </c>
      <c r="C9" s="397" t="s">
        <v>652</v>
      </c>
      <c r="E9" s="376" t="s">
        <v>720</v>
      </c>
      <c r="F9" s="951">
        <f>-B9*J4</f>
        <v>0</v>
      </c>
      <c r="G9" s="397" t="s">
        <v>708</v>
      </c>
      <c r="I9" s="313"/>
      <c r="J9" s="313"/>
      <c r="K9" s="313"/>
      <c r="M9" s="334"/>
    </row>
    <row r="10" spans="1:15" ht="15" thickBot="1" x14ac:dyDescent="0.35">
      <c r="A10" s="313"/>
      <c r="B10" s="313"/>
      <c r="C10" s="313"/>
      <c r="E10" s="735" t="s">
        <v>767</v>
      </c>
      <c r="F10" s="1056">
        <f>SUM(F8:F9)</f>
        <v>0</v>
      </c>
      <c r="G10" s="653" t="s">
        <v>708</v>
      </c>
      <c r="I10" s="313"/>
      <c r="J10" s="313"/>
      <c r="K10" s="313"/>
      <c r="M10" s="334"/>
    </row>
    <row r="11" spans="1:15" ht="15" thickBot="1" x14ac:dyDescent="0.35">
      <c r="A11" s="313"/>
      <c r="B11" s="313"/>
      <c r="C11" s="313"/>
      <c r="E11" s="313"/>
      <c r="F11" s="313"/>
      <c r="G11" s="313"/>
      <c r="I11" s="313"/>
      <c r="J11" s="313"/>
      <c r="K11" s="313"/>
      <c r="M11" s="334"/>
    </row>
    <row r="12" spans="1:15" x14ac:dyDescent="0.3">
      <c r="A12" s="306" t="s">
        <v>814</v>
      </c>
      <c r="B12" s="336" t="s">
        <v>515</v>
      </c>
      <c r="C12" s="337" t="s">
        <v>444</v>
      </c>
      <c r="E12" s="370" t="s">
        <v>248</v>
      </c>
      <c r="F12" s="336" t="s">
        <v>726</v>
      </c>
      <c r="G12" s="337" t="s">
        <v>444</v>
      </c>
      <c r="I12" s="314"/>
      <c r="J12" s="314"/>
      <c r="K12" s="314"/>
    </row>
    <row r="13" spans="1:15" x14ac:dyDescent="0.3">
      <c r="A13" s="373" t="s">
        <v>722</v>
      </c>
      <c r="B13" s="360">
        <v>0</v>
      </c>
      <c r="C13" s="395" t="s">
        <v>652</v>
      </c>
      <c r="E13" s="373" t="s">
        <v>722</v>
      </c>
      <c r="F13" s="950">
        <f>-B13*J3</f>
        <v>0</v>
      </c>
      <c r="G13" s="395" t="s">
        <v>708</v>
      </c>
      <c r="I13" s="313"/>
      <c r="J13" s="313"/>
      <c r="K13" s="313"/>
    </row>
    <row r="14" spans="1:15" x14ac:dyDescent="0.3">
      <c r="A14" s="373" t="s">
        <v>720</v>
      </c>
      <c r="B14" s="360">
        <v>0</v>
      </c>
      <c r="C14" s="395" t="s">
        <v>652</v>
      </c>
      <c r="E14" s="373" t="s">
        <v>720</v>
      </c>
      <c r="F14" s="950">
        <f>-B14*J4</f>
        <v>0</v>
      </c>
      <c r="G14" s="395" t="s">
        <v>708</v>
      </c>
      <c r="I14" s="313"/>
      <c r="J14" s="313"/>
      <c r="K14" s="313"/>
    </row>
    <row r="15" spans="1:15" ht="15" thickBot="1" x14ac:dyDescent="0.35">
      <c r="A15" s="376" t="s">
        <v>724</v>
      </c>
      <c r="B15" s="329">
        <v>0</v>
      </c>
      <c r="C15" s="397" t="s">
        <v>678</v>
      </c>
      <c r="E15" s="376" t="s">
        <v>724</v>
      </c>
      <c r="F15" s="951">
        <f>-B15*J5</f>
        <v>0</v>
      </c>
      <c r="G15" s="397" t="s">
        <v>708</v>
      </c>
    </row>
    <row r="16" spans="1:15" ht="15" thickBot="1" x14ac:dyDescent="0.35">
      <c r="A16" s="313"/>
      <c r="B16" s="313"/>
      <c r="C16" s="313"/>
      <c r="E16" s="735" t="s">
        <v>767</v>
      </c>
      <c r="F16" s="1056">
        <f>SUM(F13:F15)</f>
        <v>0</v>
      </c>
      <c r="G16" s="653" t="s">
        <v>708</v>
      </c>
      <c r="I16" s="313"/>
      <c r="J16" s="313"/>
      <c r="K16" s="313"/>
      <c r="M16" s="313"/>
      <c r="N16" s="313"/>
      <c r="O16" s="313"/>
    </row>
    <row r="17" spans="1:7" ht="15" thickBot="1" x14ac:dyDescent="0.35"/>
    <row r="18" spans="1:7" x14ac:dyDescent="0.3">
      <c r="A18" s="306" t="s">
        <v>800</v>
      </c>
      <c r="B18" s="336" t="s">
        <v>515</v>
      </c>
      <c r="C18" s="337" t="s">
        <v>444</v>
      </c>
      <c r="E18" s="370" t="s">
        <v>800</v>
      </c>
      <c r="F18" s="336" t="s">
        <v>726</v>
      </c>
      <c r="G18" s="337" t="s">
        <v>444</v>
      </c>
    </row>
    <row r="19" spans="1:7" x14ac:dyDescent="0.3">
      <c r="A19" s="373" t="s">
        <v>722</v>
      </c>
      <c r="B19" s="360">
        <v>0</v>
      </c>
      <c r="C19" s="395" t="s">
        <v>652</v>
      </c>
      <c r="E19" s="373" t="s">
        <v>722</v>
      </c>
      <c r="F19" s="950">
        <f>-B19*J3</f>
        <v>0</v>
      </c>
      <c r="G19" s="395" t="s">
        <v>708</v>
      </c>
    </row>
    <row r="20" spans="1:7" ht="15" thickBot="1" x14ac:dyDescent="0.35">
      <c r="A20" s="376" t="s">
        <v>720</v>
      </c>
      <c r="B20" s="329">
        <v>0</v>
      </c>
      <c r="C20" s="397" t="s">
        <v>652</v>
      </c>
      <c r="E20" s="376" t="s">
        <v>720</v>
      </c>
      <c r="F20" s="951">
        <f>-B20*J4</f>
        <v>0</v>
      </c>
      <c r="G20" s="397" t="s">
        <v>708</v>
      </c>
    </row>
    <row r="21" spans="1:7" ht="15" thickBot="1" x14ac:dyDescent="0.35">
      <c r="E21" s="735" t="s">
        <v>767</v>
      </c>
      <c r="F21" s="1056">
        <f>SUM(F13:F15,F3:F4)</f>
        <v>0</v>
      </c>
      <c r="G21" s="653" t="s">
        <v>708</v>
      </c>
    </row>
    <row r="60" spans="1:5" x14ac:dyDescent="0.3">
      <c r="B60" s="301" t="s">
        <v>813</v>
      </c>
      <c r="C60" s="301" t="s">
        <v>812</v>
      </c>
      <c r="D60" s="301" t="s">
        <v>248</v>
      </c>
      <c r="E60" s="301" t="s">
        <v>800</v>
      </c>
    </row>
    <row r="61" spans="1:5" x14ac:dyDescent="0.3">
      <c r="A61" s="301" t="s">
        <v>487</v>
      </c>
      <c r="B61" s="440">
        <f>F3</f>
        <v>0</v>
      </c>
      <c r="C61" s="964">
        <f>F8</f>
        <v>0</v>
      </c>
      <c r="D61" s="440">
        <f>F13</f>
        <v>0</v>
      </c>
      <c r="E61" s="964">
        <f>F19</f>
        <v>0</v>
      </c>
    </row>
    <row r="62" spans="1:5" x14ac:dyDescent="0.3">
      <c r="A62" s="301" t="s">
        <v>488</v>
      </c>
      <c r="B62" s="440">
        <f>F4</f>
        <v>0</v>
      </c>
      <c r="C62" s="964">
        <f>F9</f>
        <v>0</v>
      </c>
      <c r="D62" s="440">
        <f>F14</f>
        <v>0</v>
      </c>
      <c r="E62" s="964">
        <f>F20</f>
        <v>0</v>
      </c>
    </row>
    <row r="63" spans="1:5" x14ac:dyDescent="0.3">
      <c r="A63" s="301" t="s">
        <v>243</v>
      </c>
      <c r="D63" s="440">
        <f>F15</f>
        <v>0</v>
      </c>
    </row>
  </sheetData>
  <sheetProtection algorithmName="SHA-512" hashValue="52yAmtOnHKrJ3xRku7cJ6RQbx5Sh0BWOpPModVRCiAm/7HGV3POxEWxdDDds45HtQHScFd78KpiWGgDdb1LC6w==" saltValue="9o537/+r+N8nBS6MKrvgEw==" spinCount="100000" sheet="1" objects="1" scenarios="1" formatColumns="0" formatRows="0"/>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E2E5EF60C512B4E974E408CC8D68FE9" ma:contentTypeVersion="10" ma:contentTypeDescription="Opprett et nytt dokument." ma:contentTypeScope="" ma:versionID="070b5b0fe0ae0fb615b00d6933d27b1a">
  <xsd:schema xmlns:xsd="http://www.w3.org/2001/XMLSchema" xmlns:xs="http://www.w3.org/2001/XMLSchema" xmlns:p="http://schemas.microsoft.com/office/2006/metadata/properties" xmlns:ns2="27e7d57e-dee1-40ec-a74d-40f1b9aa778a" xmlns:ns3="deb2488f-46db-4264-93eb-f6c954f2fe8d" targetNamespace="http://schemas.microsoft.com/office/2006/metadata/properties" ma:root="true" ma:fieldsID="d680d3d0acade01770659a6739cc5269" ns2:_="" ns3:_="">
    <xsd:import namespace="27e7d57e-dee1-40ec-a74d-40f1b9aa778a"/>
    <xsd:import namespace="deb2488f-46db-4264-93eb-f6c954f2fe8d"/>
    <xsd:element name="properties">
      <xsd:complexType>
        <xsd:sequence>
          <xsd:element name="documentManagement">
            <xsd:complexType>
              <xsd:all>
                <xsd:element ref="ns2:_dlc_DocId" minOccurs="0"/>
                <xsd:element ref="ns2:_dlc_DocIdUrl" minOccurs="0"/>
                <xsd:element ref="ns2:_dlc_DocIdPersistId" minOccurs="0"/>
                <xsd:element ref="ns3:Dokumenttype"/>
                <xsd:element ref="ns3:Aktivitet" minOccurs="0"/>
                <xsd:element ref="ns3:Dokumenttema" minOccurs="0"/>
                <xsd:element ref="ns3:Revisjon" minOccurs="0"/>
                <xsd:element ref="ns3:RevisjonsDato" minOccurs="0"/>
                <xsd:element ref="ns3:TilTekst" minOccurs="0"/>
                <xsd:element ref="ns3:FraTekst" minOccurs="0"/>
                <xsd:element ref="ns3:KopiTekst" minOccurs="0"/>
                <xsd:element ref="ns3:Oppdragsnummer"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e7d57e-dee1-40ec-a74d-40f1b9aa778a" elementFormDefault="qualified">
    <xsd:import namespace="http://schemas.microsoft.com/office/2006/documentManagement/types"/>
    <xsd:import namespace="http://schemas.microsoft.com/office/infopath/2007/PartnerControls"/>
    <xsd:element name="_dlc_DocId" ma:index="8" nillable="true" ma:displayName="Dokument-ID-verdi" ma:description="Verdien for dokument-IDen som er tilordnet elementet." ma:internalName="_dlc_DocId" ma:readOnly="true">
      <xsd:simpleType>
        <xsd:restriction base="dms:Text"/>
      </xsd:simpleType>
    </xsd:element>
    <xsd:element name="_dlc_DocIdUrl" ma:index="9" nillable="true" ma:displayName="Dokument-ID" ma:description="Fast kobling til dokumente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eb2488f-46db-4264-93eb-f6c954f2fe8d" elementFormDefault="qualified">
    <xsd:import namespace="http://schemas.microsoft.com/office/2006/documentManagement/types"/>
    <xsd:import namespace="http://schemas.microsoft.com/office/infopath/2007/PartnerControls"/>
    <xsd:element name="Dokumenttype" ma:index="11" ma:displayName="Dokumenttype" ma:default="Oppdragsdokument" ma:internalName="Dokumenttype">
      <xsd:simpleType>
        <xsd:restriction base="dms:Choice">
          <xsd:enumeration value="Oppdragsdokument"/>
          <xsd:enumeration value="Avtale"/>
          <xsd:enumeration value="Kart"/>
          <xsd:enumeration value="Notat"/>
          <xsd:enumeration value="Rapport"/>
          <xsd:enumeration value="Tegning"/>
          <xsd:enumeration value="Tilbud"/>
          <xsd:enumeration value="Brev"/>
          <xsd:enumeration value="Møte"/>
          <xsd:enumeration value="E-post"/>
          <xsd:enumeration value="Sjekkliste"/>
        </xsd:restriction>
      </xsd:simpleType>
    </xsd:element>
    <xsd:element name="Aktivitet" ma:index="12" nillable="true" ma:displayName="Aktivitet" ma:list="{F8D23B6A-8021-4388-B422-61C9B9A36D40}" ma:internalName="Aktivitet" ma:showField="Title" ma:web="deb2488f-46db-4264-93eb-f6c954f2fe8d">
      <xsd:simpleType>
        <xsd:restriction base="dms:Lookup"/>
      </xsd:simpleType>
    </xsd:element>
    <xsd:element name="Dokumenttema" ma:index="13" nillable="true" ma:displayName="Dokumenttema" ma:list="{17582330-337C-44D9-8105-DC3299D96309}" ma:internalName="Dokumenttema" ma:showField="Title" ma:web="deb2488f-46db-4264-93eb-f6c954f2fe8d">
      <xsd:simpleType>
        <xsd:restriction base="dms:Lookup"/>
      </xsd:simpleType>
    </xsd:element>
    <xsd:element name="Revisjon" ma:index="14" nillable="true" ma:displayName="Revisjon" ma:internalName="Revisjon">
      <xsd:simpleType>
        <xsd:restriction base="dms:Text">
          <xsd:maxLength value="255"/>
        </xsd:restriction>
      </xsd:simpleType>
    </xsd:element>
    <xsd:element name="RevisjonsDato" ma:index="15" nillable="true" ma:displayName="RevisjonsDato" ma:format="DateOnly" ma:internalName="RevisjonsDato">
      <xsd:simpleType>
        <xsd:restriction base="dms:DateTime"/>
      </xsd:simpleType>
    </xsd:element>
    <xsd:element name="TilTekst" ma:index="16" nillable="true" ma:displayName="Til" ma:internalName="TilTekst">
      <xsd:simpleType>
        <xsd:restriction base="dms:Note">
          <xsd:maxLength value="255"/>
        </xsd:restriction>
      </xsd:simpleType>
    </xsd:element>
    <xsd:element name="FraTekst" ma:index="17" nillable="true" ma:displayName="Fra" ma:internalName="FraTekst">
      <xsd:simpleType>
        <xsd:restriction base="dms:Note">
          <xsd:maxLength value="255"/>
        </xsd:restriction>
      </xsd:simpleType>
    </xsd:element>
    <xsd:element name="KopiTekst" ma:index="18" nillable="true" ma:displayName="Kopi" ma:internalName="KopiTekst">
      <xsd:simpleType>
        <xsd:restriction base="dms:Note">
          <xsd:maxLength value="255"/>
        </xsd:restriction>
      </xsd:simpleType>
    </xsd:element>
    <xsd:element name="Oppdragsnummer" ma:index="19" nillable="true" ma:displayName="Oppdragsnummer" ma:default="628264-01" ma:internalName="Oppdragsnummer" ma:readOnly="false">
      <xsd:simpleType>
        <xsd:restriction base="dms:Text">
          <xsd:maxLength value="255"/>
        </xsd:restriction>
      </xsd:simpleType>
    </xsd:element>
    <xsd:element name="SharedWithUsers" ma:index="2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ilTekst xmlns="deb2488f-46db-4264-93eb-f6c954f2fe8d" xsi:nil="true"/>
    <Dokumenttema xmlns="deb2488f-46db-4264-93eb-f6c954f2fe8d" xsi:nil="true"/>
    <RevisjonsDato xmlns="deb2488f-46db-4264-93eb-f6c954f2fe8d" xsi:nil="true"/>
    <Revisjon xmlns="deb2488f-46db-4264-93eb-f6c954f2fe8d" xsi:nil="true"/>
    <FraTekst xmlns="deb2488f-46db-4264-93eb-f6c954f2fe8d" xsi:nil="true"/>
    <Dokumenttype xmlns="deb2488f-46db-4264-93eb-f6c954f2fe8d">Oppdragsdokument</Dokumenttype>
    <KopiTekst xmlns="deb2488f-46db-4264-93eb-f6c954f2fe8d" xsi:nil="true"/>
    <Aktivitet xmlns="deb2488f-46db-4264-93eb-f6c954f2fe8d" xsi:nil="true"/>
    <Oppdragsnummer xmlns="deb2488f-46db-4264-93eb-f6c954f2fe8d">628264-01</Oppdragsnummer>
    <_dlc_DocId xmlns="27e7d57e-dee1-40ec-a74d-40f1b9aa778a">628264-101649136-36</_dlc_DocId>
    <_dlc_DocIdUrl xmlns="27e7d57e-dee1-40ec-a74d-40f1b9aa778a">
      <Url>http://bikube/Oppdrag/628264/01/_layouts/15/DocIdRedir.aspx?ID=628264-101649136-36</Url>
      <Description>628264-101649136-36</Description>
    </_dlc_DocIdUrl>
  </documentManagement>
</p:properties>
</file>

<file path=customXml/itemProps1.xml><?xml version="1.0" encoding="utf-8"?>
<ds:datastoreItem xmlns:ds="http://schemas.openxmlformats.org/officeDocument/2006/customXml" ds:itemID="{3EFA7923-3C80-4B7C-B7C1-18467AD6271A}">
  <ds:schemaRefs>
    <ds:schemaRef ds:uri="http://schemas.microsoft.com/sharepoint/events"/>
  </ds:schemaRefs>
</ds:datastoreItem>
</file>

<file path=customXml/itemProps2.xml><?xml version="1.0" encoding="utf-8"?>
<ds:datastoreItem xmlns:ds="http://schemas.openxmlformats.org/officeDocument/2006/customXml" ds:itemID="{FF1C776E-22B8-4A75-97AD-29B3B91FF802}">
  <ds:schemaRefs>
    <ds:schemaRef ds:uri="http://schemas.microsoft.com/sharepoint/v3/contenttype/forms"/>
  </ds:schemaRefs>
</ds:datastoreItem>
</file>

<file path=customXml/itemProps3.xml><?xml version="1.0" encoding="utf-8"?>
<ds:datastoreItem xmlns:ds="http://schemas.openxmlformats.org/officeDocument/2006/customXml" ds:itemID="{F00D7140-56BA-4496-BC89-57B19599F7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e7d57e-dee1-40ec-a74d-40f1b9aa778a"/>
    <ds:schemaRef ds:uri="deb2488f-46db-4264-93eb-f6c954f2fe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47477CA-5BCF-4AEE-A0E7-DB317A3637E9}">
  <ds:schemaRefs>
    <ds:schemaRef ds:uri="http://purl.org/dc/elements/1.1/"/>
    <ds:schemaRef ds:uri="http://purl.org/dc/terms/"/>
    <ds:schemaRef ds:uri="deb2488f-46db-4264-93eb-f6c954f2fe8d"/>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27e7d57e-dee1-40ec-a74d-40f1b9aa77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24</vt:i4>
      </vt:variant>
      <vt:variant>
        <vt:lpstr>Navngitte områder</vt:lpstr>
      </vt:variant>
      <vt:variant>
        <vt:i4>67</vt:i4>
      </vt:variant>
    </vt:vector>
  </HeadingPairs>
  <TitlesOfParts>
    <vt:vector size="91" baseType="lpstr">
      <vt:lpstr>Innledning</vt:lpstr>
      <vt:lpstr>Input KOSTRA regnskapsdata</vt:lpstr>
      <vt:lpstr>Sammendrag klimaregnskap</vt:lpstr>
      <vt:lpstr>Vannbehandling - Input</vt:lpstr>
      <vt:lpstr>Vannbehandling - Resultater</vt:lpstr>
      <vt:lpstr>Avløpsbehandling - Input</vt:lpstr>
      <vt:lpstr>Avløp direkteutslipp og biogass</vt:lpstr>
      <vt:lpstr>Avløpsbehandling-Resultater</vt:lpstr>
      <vt:lpstr>Gevinst fra eksportert energi</vt:lpstr>
      <vt:lpstr>Vann og Avløp-utslippsfaktorer</vt:lpstr>
      <vt:lpstr>Utslippsfaktorer Transport</vt:lpstr>
      <vt:lpstr>Transportsystem Avløp - Input</vt:lpstr>
      <vt:lpstr>Transportsystem Avløp - Input g</vt:lpstr>
      <vt:lpstr>Transportsystemer - Resultater</vt:lpstr>
      <vt:lpstr>Avløpsbehandling - CH4&amp;N2O g</vt:lpstr>
      <vt:lpstr>Scope-fordeling</vt:lpstr>
      <vt:lpstr>Transportsystemer - Ressursfane</vt:lpstr>
      <vt:lpstr>Transportsystemer, faktorer</vt:lpstr>
      <vt:lpstr>Ledningsnett - faktorer</vt:lpstr>
      <vt:lpstr>Konstanter CH4ogN2O</vt:lpstr>
      <vt:lpstr>Enkelt klimaregnskap - faktorer</vt:lpstr>
      <vt:lpstr>Lister</vt:lpstr>
      <vt:lpstr>Fra ECAM Tool</vt:lpstr>
      <vt:lpstr>Rørdatatabell</vt:lpstr>
      <vt:lpstr>bio_brukt</vt:lpstr>
      <vt:lpstr>Bio_faklet</vt:lpstr>
      <vt:lpstr>Bio_faklet_kald</vt:lpstr>
      <vt:lpstr>bio_prod</vt:lpstr>
      <vt:lpstr>bio_valorisert</vt:lpstr>
      <vt:lpstr>BOD_fjernet</vt:lpstr>
      <vt:lpstr>BOD_innlop</vt:lpstr>
      <vt:lpstr>BOD_per_pers</vt:lpstr>
      <vt:lpstr>BOD_utlop</vt:lpstr>
      <vt:lpstr>C_til_CH4</vt:lpstr>
      <vt:lpstr>CH4_biogass</vt:lpstr>
      <vt:lpstr>CH4_forb_torr</vt:lpstr>
      <vt:lpstr>CH4_i_deponi</vt:lpstr>
      <vt:lpstr>CH4_i_slam</vt:lpstr>
      <vt:lpstr>CH4_per_BOD</vt:lpstr>
      <vt:lpstr>CH4_tap_fakling</vt:lpstr>
      <vt:lpstr>CH4_udekket_kompost</vt:lpstr>
      <vt:lpstr>CN_i_slam</vt:lpstr>
      <vt:lpstr>CO2_diesel</vt:lpstr>
      <vt:lpstr>dager</vt:lpstr>
      <vt:lpstr>dens_biogass</vt:lpstr>
      <vt:lpstr>DOC_ila_3_år</vt:lpstr>
      <vt:lpstr>DOC_slam</vt:lpstr>
      <vt:lpstr>forb_temp</vt:lpstr>
      <vt:lpstr>forb_total_N</vt:lpstr>
      <vt:lpstr>gjs_N_utlop</vt:lpstr>
      <vt:lpstr>har_slamfordoyer</vt:lpstr>
      <vt:lpstr>Ikke_kons_prot</vt:lpstr>
      <vt:lpstr>ind_kom_prot</vt:lpstr>
      <vt:lpstr>ind_komm_protein</vt:lpstr>
      <vt:lpstr>IPCC5_N2O</vt:lpstr>
      <vt:lpstr>IPPC5_CH4</vt:lpstr>
      <vt:lpstr>kompost_dekket</vt:lpstr>
      <vt:lpstr>lagringstid</vt:lpstr>
      <vt:lpstr>MCF_dd</vt:lpstr>
      <vt:lpstr>MCF_deponi</vt:lpstr>
      <vt:lpstr>MCF_septic</vt:lpstr>
      <vt:lpstr>N_fordøyet</vt:lpstr>
      <vt:lpstr>N_i_protein</vt:lpstr>
      <vt:lpstr>N_ikke_fordoyet</vt:lpstr>
      <vt:lpstr>N_per_VS</vt:lpstr>
      <vt:lpstr>N_til_N2O</vt:lpstr>
      <vt:lpstr>N_til_N2O_ftekst</vt:lpstr>
      <vt:lpstr>N_til_N2O_gtekst</vt:lpstr>
      <vt:lpstr>N2O_emi</vt:lpstr>
      <vt:lpstr>N2O_lav_CN</vt:lpstr>
      <vt:lpstr>N2O_lav_CN_ubehandlet</vt:lpstr>
      <vt:lpstr>N2O_N2ON</vt:lpstr>
      <vt:lpstr>N2ON_N</vt:lpstr>
      <vt:lpstr>org_C_TVS</vt:lpstr>
      <vt:lpstr>pers_avlop</vt:lpstr>
      <vt:lpstr>pers_avlopsbehandling</vt:lpstr>
      <vt:lpstr>pers_omr</vt:lpstr>
      <vt:lpstr>pers_septikk</vt:lpstr>
      <vt:lpstr>protein_pers_aar</vt:lpstr>
      <vt:lpstr>Slam_VSS_BOD</vt:lpstr>
      <vt:lpstr>slamavhending</vt:lpstr>
      <vt:lpstr>torr_slam</vt:lpstr>
      <vt:lpstr>torrstoff_slam</vt:lpstr>
      <vt:lpstr>TSS_VSS_slam</vt:lpstr>
      <vt:lpstr>TVS_fordoyet_slam</vt:lpstr>
      <vt:lpstr>TVS_ikke_fordoyet_slam</vt:lpstr>
      <vt:lpstr>ubehandlet_BOD</vt:lpstr>
      <vt:lpstr>usikkerhet</vt:lpstr>
      <vt:lpstr>volum_vann</vt:lpstr>
      <vt:lpstr>VS_per_BOD</vt:lpstr>
      <vt:lpstr>vaat_slam_prod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2015-06-05T18:19:34Z</dcterms:created>
  <dcterms:modified xsi:type="dcterms:W3CDTF">2023-01-19T13:02:08Z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0x010100DE2E5EF60C512B4E974E408CC8D68FE9</vt:lpwstr>
  </property>
  <property fmtid="{D5CDD505-2E9C-101B-9397-08002B2CF9AE}" pid="3" name="_dlc_DocIdItemGuid">
    <vt:lpwstr>8bea7ba6-797e-4768-b6f4-fa735903df6b</vt:lpwstr>
  </property>
</Properties>
</file>